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6380" windowHeight="8130" tabRatio="500" activeTab="50"/>
  </bookViews>
  <sheets>
    <sheet name="Item1" sheetId="1" r:id="rId1"/>
    <sheet name="Item2" sheetId="2" r:id="rId2"/>
    <sheet name="Item3" sheetId="3" r:id="rId3"/>
    <sheet name="Item4" sheetId="4" r:id="rId4"/>
    <sheet name="Item5" sheetId="5" r:id="rId5"/>
    <sheet name="Item6" sheetId="6" r:id="rId6"/>
    <sheet name="Item7" sheetId="7" r:id="rId7"/>
    <sheet name="Item8" sheetId="8" state="hidden" r:id="rId8"/>
    <sheet name="Item9" sheetId="9" state="hidden" r:id="rId9"/>
    <sheet name="Item10" sheetId="10" state="hidden" r:id="rId10"/>
    <sheet name="Item11" sheetId="11" state="hidden" r:id="rId11"/>
    <sheet name="Item12" sheetId="12" state="hidden" r:id="rId12"/>
    <sheet name="Item13" sheetId="13" state="hidden" r:id="rId13"/>
    <sheet name="Item14" sheetId="14" state="hidden" r:id="rId14"/>
    <sheet name="Item15" sheetId="15" state="hidden" r:id="rId15"/>
    <sheet name="Item16" sheetId="16" state="hidden" r:id="rId16"/>
    <sheet name="Item17" sheetId="17" state="hidden" r:id="rId17"/>
    <sheet name="Item18" sheetId="18" state="hidden" r:id="rId18"/>
    <sheet name="Item19" sheetId="19" state="hidden" r:id="rId19"/>
    <sheet name="Item20" sheetId="20" state="hidden" r:id="rId20"/>
    <sheet name="Item21" sheetId="21" state="hidden" r:id="rId21"/>
    <sheet name="Item22" sheetId="22" state="hidden" r:id="rId22"/>
    <sheet name="Item23" sheetId="23" state="hidden" r:id="rId23"/>
    <sheet name="Item24" sheetId="24" state="hidden" r:id="rId24"/>
    <sheet name="Item25" sheetId="25" state="hidden" r:id="rId25"/>
    <sheet name="Item26" sheetId="26" state="hidden" r:id="rId26"/>
    <sheet name="Item27" sheetId="27" state="hidden" r:id="rId27"/>
    <sheet name="Item28" sheetId="28" state="hidden" r:id="rId28"/>
    <sheet name="Item29" sheetId="29" state="hidden" r:id="rId29"/>
    <sheet name="Item30" sheetId="30" state="hidden" r:id="rId30"/>
    <sheet name="Item31" sheetId="31" state="hidden" r:id="rId31"/>
    <sheet name="Item32" sheetId="32" state="hidden" r:id="rId32"/>
    <sheet name="Item33" sheetId="33" state="hidden" r:id="rId33"/>
    <sheet name="Item34" sheetId="34" state="hidden" r:id="rId34"/>
    <sheet name="Item35" sheetId="35" state="hidden" r:id="rId35"/>
    <sheet name="Item36" sheetId="36" state="hidden" r:id="rId36"/>
    <sheet name="Item37" sheetId="37" state="hidden" r:id="rId37"/>
    <sheet name="Item38" sheetId="38" state="hidden" r:id="rId38"/>
    <sheet name="Item39" sheetId="39" state="hidden" r:id="rId39"/>
    <sheet name="Item40" sheetId="40" state="hidden" r:id="rId40"/>
    <sheet name="Item41" sheetId="41" state="hidden" r:id="rId41"/>
    <sheet name="Item42" sheetId="42" state="hidden" r:id="rId42"/>
    <sheet name="Item43" sheetId="43" state="hidden" r:id="rId43"/>
    <sheet name="Item44" sheetId="44" state="hidden" r:id="rId44"/>
    <sheet name="Item45" sheetId="45" state="hidden" r:id="rId45"/>
    <sheet name="Item46" sheetId="46" state="hidden" r:id="rId46"/>
    <sheet name="Item47" sheetId="47" state="hidden" r:id="rId47"/>
    <sheet name="Item48" sheetId="48" state="hidden" r:id="rId48"/>
    <sheet name="Item49" sheetId="49" state="hidden" r:id="rId49"/>
    <sheet name="Item50" sheetId="50" state="hidden" r:id="rId50"/>
    <sheet name="TOTAL" sheetId="51" r:id="rId51"/>
  </sheets>
  <definedNames>
    <definedName name="_xlnm.Print_Area" localSheetId="50">TOTAL!$A$1:$F$17</definedName>
    <definedName name="Print_Area_0" localSheetId="50">TOTAL!$A$8:$F$17</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H6" i="7" l="1"/>
  <c r="D16" i="51"/>
  <c r="C16" i="51"/>
  <c r="B16" i="51"/>
  <c r="D15" i="51"/>
  <c r="C15" i="51"/>
  <c r="B15" i="51"/>
  <c r="D14" i="51"/>
  <c r="C14" i="51"/>
  <c r="B14" i="51"/>
  <c r="D13" i="51"/>
  <c r="C13" i="51"/>
  <c r="B13" i="51"/>
  <c r="D12" i="51"/>
  <c r="C12" i="51"/>
  <c r="B12" i="51"/>
  <c r="D11" i="51"/>
  <c r="C11" i="51"/>
  <c r="B11" i="51"/>
  <c r="D10" i="51"/>
  <c r="C10" i="51"/>
  <c r="B10" i="51"/>
  <c r="H20" i="50"/>
  <c r="G20" i="50" s="1"/>
  <c r="F20" i="50"/>
  <c r="D20" i="50"/>
  <c r="B20" i="50"/>
  <c r="I17" i="50"/>
  <c r="I16" i="50"/>
  <c r="I15" i="50"/>
  <c r="I14" i="50"/>
  <c r="I13" i="50"/>
  <c r="I12" i="50"/>
  <c r="I11" i="50"/>
  <c r="I10" i="50"/>
  <c r="I9" i="50"/>
  <c r="I8" i="50"/>
  <c r="I7" i="50"/>
  <c r="I6" i="50"/>
  <c r="F3" i="50"/>
  <c r="H20" i="49"/>
  <c r="G20" i="49"/>
  <c r="F20" i="49"/>
  <c r="D20" i="49"/>
  <c r="B20" i="49"/>
  <c r="A20" i="49"/>
  <c r="C20" i="49" s="1"/>
  <c r="I17" i="49"/>
  <c r="I16" i="49"/>
  <c r="I15" i="49"/>
  <c r="I14" i="49"/>
  <c r="I13" i="49"/>
  <c r="I12" i="49"/>
  <c r="I11" i="49"/>
  <c r="I10" i="49"/>
  <c r="I9" i="49"/>
  <c r="I8" i="49"/>
  <c r="I7" i="49"/>
  <c r="I6" i="49"/>
  <c r="F3" i="49"/>
  <c r="H20" i="48"/>
  <c r="G20" i="48" s="1"/>
  <c r="F20" i="48"/>
  <c r="D20" i="48"/>
  <c r="B20" i="48"/>
  <c r="I17" i="48"/>
  <c r="I16" i="48"/>
  <c r="I15" i="48"/>
  <c r="I14" i="48"/>
  <c r="I13" i="48"/>
  <c r="I12" i="48"/>
  <c r="I11" i="48"/>
  <c r="I10" i="48"/>
  <c r="I9" i="48"/>
  <c r="I8" i="48"/>
  <c r="I7" i="48"/>
  <c r="I6" i="48"/>
  <c r="F3" i="48"/>
  <c r="H20" i="47"/>
  <c r="G20" i="47"/>
  <c r="F20" i="47"/>
  <c r="D20" i="47"/>
  <c r="C20" i="47"/>
  <c r="I3" i="47" s="1"/>
  <c r="B20" i="47"/>
  <c r="A20" i="47"/>
  <c r="I17" i="47"/>
  <c r="I16" i="47"/>
  <c r="I15" i="47"/>
  <c r="I14" i="47"/>
  <c r="I13" i="47"/>
  <c r="I12" i="47"/>
  <c r="I11" i="47"/>
  <c r="I10" i="47"/>
  <c r="I9" i="47"/>
  <c r="I8" i="47"/>
  <c r="I7" i="47"/>
  <c r="I6" i="47"/>
  <c r="I4" i="47"/>
  <c r="F3" i="47"/>
  <c r="H20" i="46"/>
  <c r="G20" i="46" s="1"/>
  <c r="F20" i="46"/>
  <c r="D20" i="46"/>
  <c r="B20" i="46"/>
  <c r="I17" i="46"/>
  <c r="I16" i="46"/>
  <c r="I15" i="46"/>
  <c r="I14" i="46"/>
  <c r="I13" i="46"/>
  <c r="I12" i="46"/>
  <c r="I11" i="46"/>
  <c r="I10" i="46"/>
  <c r="I9" i="46"/>
  <c r="I8" i="46"/>
  <c r="I7" i="46"/>
  <c r="I6" i="46"/>
  <c r="F3" i="46"/>
  <c r="H20" i="45"/>
  <c r="G20" i="45"/>
  <c r="F20" i="45"/>
  <c r="D20" i="45"/>
  <c r="B20" i="45"/>
  <c r="A20" i="45"/>
  <c r="C20" i="45" s="1"/>
  <c r="I17" i="45"/>
  <c r="I16" i="45"/>
  <c r="I15" i="45"/>
  <c r="I14" i="45"/>
  <c r="I13" i="45"/>
  <c r="I12" i="45"/>
  <c r="I11" i="45"/>
  <c r="I10" i="45"/>
  <c r="I9" i="45"/>
  <c r="I8" i="45"/>
  <c r="I7" i="45"/>
  <c r="I6" i="45"/>
  <c r="F3" i="45"/>
  <c r="H20" i="44"/>
  <c r="G20" i="44" s="1"/>
  <c r="F20" i="44"/>
  <c r="D20" i="44"/>
  <c r="B20" i="44"/>
  <c r="I17" i="44"/>
  <c r="I16" i="44"/>
  <c r="I15" i="44"/>
  <c r="I14" i="44"/>
  <c r="I13" i="44"/>
  <c r="I12" i="44"/>
  <c r="I11" i="44"/>
  <c r="I10" i="44"/>
  <c r="I9" i="44"/>
  <c r="I8" i="44"/>
  <c r="I7" i="44"/>
  <c r="I6" i="44"/>
  <c r="F3" i="44"/>
  <c r="H20" i="43"/>
  <c r="G20" i="43"/>
  <c r="F20" i="43"/>
  <c r="D20" i="43"/>
  <c r="C20" i="43"/>
  <c r="I3" i="43" s="1"/>
  <c r="B20" i="43"/>
  <c r="A20" i="43"/>
  <c r="I17" i="43"/>
  <c r="I16" i="43"/>
  <c r="I15" i="43"/>
  <c r="I14" i="43"/>
  <c r="I13" i="43"/>
  <c r="I12" i="43"/>
  <c r="I11" i="43"/>
  <c r="I10" i="43"/>
  <c r="I9" i="43"/>
  <c r="I8" i="43"/>
  <c r="I7" i="43"/>
  <c r="I6" i="43"/>
  <c r="I4" i="43"/>
  <c r="F3" i="43"/>
  <c r="H20" i="42"/>
  <c r="G20" i="42" s="1"/>
  <c r="F20" i="42"/>
  <c r="D20" i="42"/>
  <c r="B20" i="42"/>
  <c r="I17" i="42"/>
  <c r="I16" i="42"/>
  <c r="I15" i="42"/>
  <c r="I14" i="42"/>
  <c r="I13" i="42"/>
  <c r="I12" i="42"/>
  <c r="I11" i="42"/>
  <c r="I10" i="42"/>
  <c r="I9" i="42"/>
  <c r="I8" i="42"/>
  <c r="I7" i="42"/>
  <c r="I6" i="42"/>
  <c r="F3" i="42"/>
  <c r="H20" i="41"/>
  <c r="G20" i="41"/>
  <c r="F20" i="41"/>
  <c r="D20" i="41"/>
  <c r="B20" i="41"/>
  <c r="A20" i="41"/>
  <c r="C20" i="41" s="1"/>
  <c r="I17" i="41"/>
  <c r="I16" i="41"/>
  <c r="I15" i="41"/>
  <c r="I14" i="41"/>
  <c r="I13" i="41"/>
  <c r="I12" i="41"/>
  <c r="I11" i="41"/>
  <c r="I10" i="41"/>
  <c r="I9" i="41"/>
  <c r="I8" i="41"/>
  <c r="I7" i="41"/>
  <c r="I6" i="41"/>
  <c r="F3" i="41"/>
  <c r="H20" i="40"/>
  <c r="G20" i="40" s="1"/>
  <c r="F20" i="40"/>
  <c r="D20" i="40"/>
  <c r="B20" i="40"/>
  <c r="I17" i="40"/>
  <c r="I16" i="40"/>
  <c r="I15" i="40"/>
  <c r="I14" i="40"/>
  <c r="I13" i="40"/>
  <c r="I12" i="40"/>
  <c r="I11" i="40"/>
  <c r="I10" i="40"/>
  <c r="I9" i="40"/>
  <c r="I8" i="40"/>
  <c r="I7" i="40"/>
  <c r="I6" i="40"/>
  <c r="F3" i="40"/>
  <c r="H20" i="39"/>
  <c r="G20" i="39"/>
  <c r="F20" i="39"/>
  <c r="D20" i="39"/>
  <c r="C20" i="39"/>
  <c r="I3" i="39" s="1"/>
  <c r="B20" i="39"/>
  <c r="A20" i="39"/>
  <c r="I17" i="39"/>
  <c r="I16" i="39"/>
  <c r="I15" i="39"/>
  <c r="I14" i="39"/>
  <c r="I13" i="39"/>
  <c r="I12" i="39"/>
  <c r="I11" i="39"/>
  <c r="I10" i="39"/>
  <c r="I9" i="39"/>
  <c r="I8" i="39"/>
  <c r="I7" i="39"/>
  <c r="I6" i="39"/>
  <c r="I4" i="39"/>
  <c r="F3" i="39"/>
  <c r="H20" i="38"/>
  <c r="G20" i="38" s="1"/>
  <c r="F20" i="38"/>
  <c r="D20" i="38"/>
  <c r="B20" i="38"/>
  <c r="I17" i="38"/>
  <c r="I16" i="38"/>
  <c r="I15" i="38"/>
  <c r="I14" i="38"/>
  <c r="I13" i="38"/>
  <c r="I12" i="38"/>
  <c r="I11" i="38"/>
  <c r="I10" i="38"/>
  <c r="I9" i="38"/>
  <c r="I8" i="38"/>
  <c r="I7" i="38"/>
  <c r="I6" i="38"/>
  <c r="F3" i="38"/>
  <c r="H20" i="37"/>
  <c r="G20" i="37"/>
  <c r="F20" i="37"/>
  <c r="D20" i="37"/>
  <c r="B20" i="37"/>
  <c r="A20" i="37"/>
  <c r="C20" i="37" s="1"/>
  <c r="I17" i="37"/>
  <c r="I16" i="37"/>
  <c r="I15" i="37"/>
  <c r="I14" i="37"/>
  <c r="I13" i="37"/>
  <c r="I12" i="37"/>
  <c r="I11" i="37"/>
  <c r="I10" i="37"/>
  <c r="I9" i="37"/>
  <c r="I8" i="37"/>
  <c r="I7" i="37"/>
  <c r="I6" i="37"/>
  <c r="F3" i="37"/>
  <c r="H20" i="36"/>
  <c r="G20" i="36" s="1"/>
  <c r="F20" i="36"/>
  <c r="D20" i="36"/>
  <c r="B20" i="36"/>
  <c r="I17" i="36"/>
  <c r="I16" i="36"/>
  <c r="I15" i="36"/>
  <c r="I14" i="36"/>
  <c r="I13" i="36"/>
  <c r="I12" i="36"/>
  <c r="I11" i="36"/>
  <c r="I10" i="36"/>
  <c r="I9" i="36"/>
  <c r="I8" i="36"/>
  <c r="I7" i="36"/>
  <c r="I6" i="36"/>
  <c r="F3" i="36"/>
  <c r="H20" i="35"/>
  <c r="G20" i="35"/>
  <c r="F20" i="35"/>
  <c r="D20" i="35"/>
  <c r="C20" i="35"/>
  <c r="B20" i="35"/>
  <c r="A20" i="35"/>
  <c r="I17" i="35"/>
  <c r="I16" i="35"/>
  <c r="I15" i="35"/>
  <c r="I14" i="35"/>
  <c r="I13" i="35"/>
  <c r="I12" i="35"/>
  <c r="I11" i="35"/>
  <c r="I10" i="35"/>
  <c r="I9" i="35"/>
  <c r="I8" i="35"/>
  <c r="I7" i="35"/>
  <c r="I6" i="35"/>
  <c r="I4" i="35"/>
  <c r="F3" i="35"/>
  <c r="H20" i="34"/>
  <c r="G20" i="34" s="1"/>
  <c r="F20" i="34"/>
  <c r="D20" i="34"/>
  <c r="B20" i="34"/>
  <c r="I17" i="34"/>
  <c r="I16" i="34"/>
  <c r="I15" i="34"/>
  <c r="I14" i="34"/>
  <c r="I13" i="34"/>
  <c r="I12" i="34"/>
  <c r="I11" i="34"/>
  <c r="I10" i="34"/>
  <c r="I9" i="34"/>
  <c r="I8" i="34"/>
  <c r="I7" i="34"/>
  <c r="I6" i="34"/>
  <c r="F3" i="34"/>
  <c r="H20" i="33"/>
  <c r="G20" i="33"/>
  <c r="F20" i="33"/>
  <c r="D20" i="33"/>
  <c r="B20" i="33"/>
  <c r="A20" i="33"/>
  <c r="C20" i="33" s="1"/>
  <c r="I17" i="33"/>
  <c r="I16" i="33"/>
  <c r="I15" i="33"/>
  <c r="I14" i="33"/>
  <c r="I13" i="33"/>
  <c r="I12" i="33"/>
  <c r="I11" i="33"/>
  <c r="I10" i="33"/>
  <c r="I9" i="33"/>
  <c r="I8" i="33"/>
  <c r="I7" i="33"/>
  <c r="I6" i="33"/>
  <c r="F3" i="33"/>
  <c r="H20" i="32"/>
  <c r="G20" i="32" s="1"/>
  <c r="F20" i="32"/>
  <c r="D20" i="32"/>
  <c r="B20" i="32"/>
  <c r="I17" i="32"/>
  <c r="I16" i="32"/>
  <c r="I15" i="32"/>
  <c r="I14" i="32"/>
  <c r="I13" i="32"/>
  <c r="I12" i="32"/>
  <c r="I11" i="32"/>
  <c r="I10" i="32"/>
  <c r="I9" i="32"/>
  <c r="I8" i="32"/>
  <c r="I7" i="32"/>
  <c r="I6" i="32"/>
  <c r="F3" i="32"/>
  <c r="H20" i="31"/>
  <c r="G20" i="31"/>
  <c r="F20" i="31"/>
  <c r="D20" i="31"/>
  <c r="C20" i="31"/>
  <c r="B20" i="31"/>
  <c r="A20" i="31"/>
  <c r="I17" i="31"/>
  <c r="I16" i="31"/>
  <c r="I15" i="31"/>
  <c r="I14" i="31"/>
  <c r="I13" i="31"/>
  <c r="I12" i="31"/>
  <c r="I11" i="31"/>
  <c r="I10" i="31"/>
  <c r="I9" i="31"/>
  <c r="I8" i="31"/>
  <c r="I7" i="31"/>
  <c r="I6" i="31"/>
  <c r="I4" i="31"/>
  <c r="F3" i="31"/>
  <c r="H20" i="30"/>
  <c r="G20" i="30" s="1"/>
  <c r="F20" i="30"/>
  <c r="D20" i="30"/>
  <c r="B20" i="30"/>
  <c r="I17" i="30"/>
  <c r="I16" i="30"/>
  <c r="I15" i="30"/>
  <c r="I14" i="30"/>
  <c r="I13" i="30"/>
  <c r="I12" i="30"/>
  <c r="I11" i="30"/>
  <c r="I10" i="30"/>
  <c r="I9" i="30"/>
  <c r="I8" i="30"/>
  <c r="I7" i="30"/>
  <c r="I6" i="30"/>
  <c r="F3" i="30"/>
  <c r="H20" i="29"/>
  <c r="G20" i="29"/>
  <c r="F20" i="29"/>
  <c r="D20" i="29"/>
  <c r="B20" i="29"/>
  <c r="A20" i="29"/>
  <c r="C20" i="29" s="1"/>
  <c r="I17" i="29"/>
  <c r="I16" i="29"/>
  <c r="I15" i="29"/>
  <c r="I14" i="29"/>
  <c r="I13" i="29"/>
  <c r="I12" i="29"/>
  <c r="I11" i="29"/>
  <c r="I10" i="29"/>
  <c r="I9" i="29"/>
  <c r="I8" i="29"/>
  <c r="I7" i="29"/>
  <c r="I6" i="29"/>
  <c r="F3" i="29"/>
  <c r="H20" i="28"/>
  <c r="G20" i="28" s="1"/>
  <c r="F20" i="28"/>
  <c r="D20" i="28"/>
  <c r="B20" i="28"/>
  <c r="I17" i="28"/>
  <c r="I16" i="28"/>
  <c r="I15" i="28"/>
  <c r="I14" i="28"/>
  <c r="I13" i="28"/>
  <c r="I12" i="28"/>
  <c r="I11" i="28"/>
  <c r="I10" i="28"/>
  <c r="I9" i="28"/>
  <c r="I8" i="28"/>
  <c r="I7" i="28"/>
  <c r="I6" i="28"/>
  <c r="F3" i="28"/>
  <c r="H20" i="27"/>
  <c r="G20" i="27"/>
  <c r="F20" i="27"/>
  <c r="D20" i="27"/>
  <c r="B20" i="27"/>
  <c r="A20" i="27"/>
  <c r="C20" i="27" s="1"/>
  <c r="I17" i="27"/>
  <c r="I16" i="27"/>
  <c r="I15" i="27"/>
  <c r="I14" i="27"/>
  <c r="I13" i="27"/>
  <c r="I12" i="27"/>
  <c r="I11" i="27"/>
  <c r="I10" i="27"/>
  <c r="I9" i="27"/>
  <c r="I8" i="27"/>
  <c r="I7" i="27"/>
  <c r="I6" i="27"/>
  <c r="F3" i="27"/>
  <c r="H20" i="26"/>
  <c r="G20" i="26" s="1"/>
  <c r="F20" i="26"/>
  <c r="D20" i="26"/>
  <c r="B20" i="26"/>
  <c r="I17" i="26"/>
  <c r="I16" i="26"/>
  <c r="I15" i="26"/>
  <c r="I14" i="26"/>
  <c r="I13" i="26"/>
  <c r="I12" i="26"/>
  <c r="I11" i="26"/>
  <c r="I10" i="26"/>
  <c r="I9" i="26"/>
  <c r="I8" i="26"/>
  <c r="I7" i="26"/>
  <c r="I6" i="26"/>
  <c r="F3" i="26"/>
  <c r="H20" i="25"/>
  <c r="G20" i="25"/>
  <c r="F20" i="25"/>
  <c r="D20" i="25"/>
  <c r="B20" i="25"/>
  <c r="A20" i="25"/>
  <c r="C20" i="25" s="1"/>
  <c r="I17" i="25"/>
  <c r="I16" i="25"/>
  <c r="I15" i="25"/>
  <c r="I14" i="25"/>
  <c r="I13" i="25"/>
  <c r="I12" i="25"/>
  <c r="I11" i="25"/>
  <c r="I10" i="25"/>
  <c r="I9" i="25"/>
  <c r="I8" i="25"/>
  <c r="I7" i="25"/>
  <c r="I6" i="25"/>
  <c r="F3" i="25"/>
  <c r="H20" i="24"/>
  <c r="G20" i="24" s="1"/>
  <c r="F20" i="24"/>
  <c r="D20" i="24"/>
  <c r="B20" i="24"/>
  <c r="I17" i="24"/>
  <c r="I16" i="24"/>
  <c r="I15" i="24"/>
  <c r="I14" i="24"/>
  <c r="I13" i="24"/>
  <c r="I12" i="24"/>
  <c r="I11" i="24"/>
  <c r="I10" i="24"/>
  <c r="I9" i="24"/>
  <c r="I8" i="24"/>
  <c r="I7" i="24"/>
  <c r="I6" i="24"/>
  <c r="I5" i="24"/>
  <c r="I4" i="24"/>
  <c r="F3" i="24"/>
  <c r="D3" i="24"/>
  <c r="H20" i="23"/>
  <c r="G20" i="23" s="1"/>
  <c r="F20" i="23"/>
  <c r="D20" i="23"/>
  <c r="B20" i="23"/>
  <c r="I17" i="23"/>
  <c r="I16" i="23"/>
  <c r="I15" i="23"/>
  <c r="I14" i="23"/>
  <c r="I13" i="23"/>
  <c r="I12" i="23"/>
  <c r="I11" i="23"/>
  <c r="I10" i="23"/>
  <c r="I9" i="23"/>
  <c r="I8" i="23"/>
  <c r="I7" i="23"/>
  <c r="I6" i="23"/>
  <c r="I5" i="23"/>
  <c r="I4" i="23"/>
  <c r="F3" i="23"/>
  <c r="D3" i="23"/>
  <c r="H20" i="22"/>
  <c r="G20" i="22" s="1"/>
  <c r="F20" i="22"/>
  <c r="D20" i="22"/>
  <c r="B20" i="22"/>
  <c r="I17" i="22"/>
  <c r="I16" i="22"/>
  <c r="I15" i="22"/>
  <c r="I14" i="22"/>
  <c r="I13" i="22"/>
  <c r="I12" i="22"/>
  <c r="I11" i="22"/>
  <c r="I10" i="22"/>
  <c r="I9" i="22"/>
  <c r="I8" i="22"/>
  <c r="I7" i="22"/>
  <c r="F3" i="22"/>
  <c r="D3" i="22"/>
  <c r="H20" i="21"/>
  <c r="G20" i="21" s="1"/>
  <c r="F20" i="21"/>
  <c r="D20" i="21"/>
  <c r="B20" i="21"/>
  <c r="I17" i="21"/>
  <c r="I16" i="21"/>
  <c r="I15" i="21"/>
  <c r="I14" i="21"/>
  <c r="I13" i="21"/>
  <c r="I12" i="21"/>
  <c r="I11" i="21"/>
  <c r="I10" i="21"/>
  <c r="I9" i="21"/>
  <c r="F3" i="21"/>
  <c r="D3" i="21"/>
  <c r="H20" i="20"/>
  <c r="G20" i="20" s="1"/>
  <c r="F20" i="20"/>
  <c r="D20" i="20"/>
  <c r="B20" i="20"/>
  <c r="A20" i="20"/>
  <c r="I17" i="20"/>
  <c r="I16" i="20"/>
  <c r="I15" i="20"/>
  <c r="I14" i="20"/>
  <c r="I13" i="20"/>
  <c r="I12" i="20"/>
  <c r="I11" i="20"/>
  <c r="F3" i="20"/>
  <c r="D3" i="20"/>
  <c r="H20" i="19"/>
  <c r="G20" i="19" s="1"/>
  <c r="F20" i="19"/>
  <c r="D20" i="19"/>
  <c r="B20" i="19"/>
  <c r="C20" i="19" s="1"/>
  <c r="A20" i="19"/>
  <c r="I17" i="19"/>
  <c r="I16" i="19"/>
  <c r="I15" i="19"/>
  <c r="I14" i="19"/>
  <c r="I13" i="19"/>
  <c r="I12" i="19"/>
  <c r="I11" i="19"/>
  <c r="I10" i="19"/>
  <c r="I9" i="19"/>
  <c r="I8" i="19"/>
  <c r="I7" i="19"/>
  <c r="F3" i="19"/>
  <c r="D3" i="19"/>
  <c r="H20" i="18"/>
  <c r="G20" i="18" s="1"/>
  <c r="F20" i="18"/>
  <c r="D20" i="18"/>
  <c r="B20" i="18"/>
  <c r="C20" i="18" s="1"/>
  <c r="A20" i="18"/>
  <c r="I17" i="18"/>
  <c r="I16" i="18"/>
  <c r="I15" i="18"/>
  <c r="I14" i="18"/>
  <c r="F3" i="18"/>
  <c r="H20" i="17"/>
  <c r="G20" i="17" s="1"/>
  <c r="F20" i="17"/>
  <c r="D20" i="17"/>
  <c r="C20" i="17" s="1"/>
  <c r="B20" i="17"/>
  <c r="A20" i="17"/>
  <c r="I17" i="17"/>
  <c r="I16" i="17"/>
  <c r="I15" i="17"/>
  <c r="I14" i="17"/>
  <c r="I13" i="17"/>
  <c r="I12" i="17"/>
  <c r="I11" i="17"/>
  <c r="I10" i="17"/>
  <c r="I9" i="17"/>
  <c r="I8" i="17"/>
  <c r="I7" i="17"/>
  <c r="F3" i="17"/>
  <c r="H20" i="16"/>
  <c r="G20" i="16"/>
  <c r="F20" i="16"/>
  <c r="D20" i="16"/>
  <c r="C20" i="16"/>
  <c r="B20" i="16"/>
  <c r="E20" i="16" s="1"/>
  <c r="E3" i="16" s="1"/>
  <c r="I17" i="16"/>
  <c r="I16" i="16"/>
  <c r="I15" i="16"/>
  <c r="I14" i="16"/>
  <c r="I13" i="16"/>
  <c r="I12" i="16"/>
  <c r="I11" i="16"/>
  <c r="I10" i="16"/>
  <c r="I9" i="16"/>
  <c r="I8" i="16"/>
  <c r="I7" i="16"/>
  <c r="I6" i="16"/>
  <c r="I5" i="16"/>
  <c r="I4" i="16"/>
  <c r="F3" i="16"/>
  <c r="D3" i="16"/>
  <c r="H20" i="15"/>
  <c r="G20" i="15"/>
  <c r="F20" i="15"/>
  <c r="D20" i="15"/>
  <c r="B20" i="15"/>
  <c r="I17" i="15"/>
  <c r="I16" i="15"/>
  <c r="I15" i="15"/>
  <c r="I14" i="15"/>
  <c r="I13" i="15"/>
  <c r="I12" i="15"/>
  <c r="I11" i="15"/>
  <c r="I10" i="15"/>
  <c r="I9" i="15"/>
  <c r="I8" i="15"/>
  <c r="I7" i="15"/>
  <c r="F3" i="15"/>
  <c r="H20" i="14"/>
  <c r="G20" i="14"/>
  <c r="F20" i="14"/>
  <c r="D20" i="14"/>
  <c r="B20" i="14"/>
  <c r="I17" i="14"/>
  <c r="I16" i="14"/>
  <c r="I15" i="14"/>
  <c r="I14" i="14"/>
  <c r="I13" i="14"/>
  <c r="F3" i="14"/>
  <c r="H20" i="13"/>
  <c r="G20" i="13" s="1"/>
  <c r="F20" i="13"/>
  <c r="D20" i="13"/>
  <c r="B20" i="13"/>
  <c r="C20" i="13" s="1"/>
  <c r="A20" i="13"/>
  <c r="I17" i="13"/>
  <c r="I16" i="13"/>
  <c r="I15" i="13"/>
  <c r="I14" i="13"/>
  <c r="I13" i="13"/>
  <c r="I12" i="13"/>
  <c r="I11" i="13"/>
  <c r="I10" i="13"/>
  <c r="I9" i="13"/>
  <c r="I8" i="13"/>
  <c r="F3" i="13"/>
  <c r="H20" i="12"/>
  <c r="G20" i="12" s="1"/>
  <c r="F20" i="12"/>
  <c r="D20" i="12"/>
  <c r="B20" i="12"/>
  <c r="A20" i="12"/>
  <c r="C20" i="12" s="1"/>
  <c r="I17" i="12"/>
  <c r="I16" i="12"/>
  <c r="I15" i="12"/>
  <c r="I14" i="12"/>
  <c r="I13" i="12"/>
  <c r="I12" i="12"/>
  <c r="I11" i="12"/>
  <c r="I10" i="12"/>
  <c r="I9" i="12"/>
  <c r="I8" i="12"/>
  <c r="I7" i="12"/>
  <c r="F3" i="12"/>
  <c r="H20" i="11"/>
  <c r="G20" i="11"/>
  <c r="F20" i="11"/>
  <c r="D20" i="11"/>
  <c r="C20" i="11"/>
  <c r="B20" i="11"/>
  <c r="E20" i="11" s="1"/>
  <c r="I17" i="11"/>
  <c r="I16" i="11"/>
  <c r="I15" i="11"/>
  <c r="I14" i="11"/>
  <c r="I13" i="11"/>
  <c r="I12" i="11"/>
  <c r="I11" i="11"/>
  <c r="I10" i="11"/>
  <c r="I9" i="11"/>
  <c r="I8" i="11"/>
  <c r="I7" i="11"/>
  <c r="I6" i="11"/>
  <c r="I5" i="11"/>
  <c r="I4" i="11"/>
  <c r="F3" i="11"/>
  <c r="D3" i="11"/>
  <c r="H20" i="10"/>
  <c r="G20" i="10"/>
  <c r="F20" i="10"/>
  <c r="D20" i="10"/>
  <c r="B20" i="10"/>
  <c r="I17" i="10"/>
  <c r="I16" i="10"/>
  <c r="I15" i="10"/>
  <c r="I14" i="10"/>
  <c r="I13" i="10"/>
  <c r="I12" i="10"/>
  <c r="I11" i="10"/>
  <c r="I10" i="10"/>
  <c r="I9" i="10"/>
  <c r="I8" i="10"/>
  <c r="I7" i="10"/>
  <c r="F3" i="10"/>
  <c r="H20" i="9"/>
  <c r="G20" i="9"/>
  <c r="F20" i="9"/>
  <c r="D20" i="9"/>
  <c r="B20" i="9"/>
  <c r="I17" i="9"/>
  <c r="I16" i="9"/>
  <c r="I15" i="9"/>
  <c r="I14" i="9"/>
  <c r="I13" i="9"/>
  <c r="I12" i="9"/>
  <c r="F3" i="9"/>
  <c r="H20" i="8"/>
  <c r="G20" i="8" s="1"/>
  <c r="F20" i="8"/>
  <c r="D20" i="8"/>
  <c r="B20" i="8"/>
  <c r="C20" i="8" s="1"/>
  <c r="A20" i="8"/>
  <c r="I17" i="8"/>
  <c r="I16" i="8"/>
  <c r="I15" i="8"/>
  <c r="I14" i="8"/>
  <c r="I13" i="8"/>
  <c r="I12" i="8"/>
  <c r="I11" i="8"/>
  <c r="I10" i="8"/>
  <c r="I9" i="8"/>
  <c r="I8" i="8"/>
  <c r="I7" i="8"/>
  <c r="I6" i="8"/>
  <c r="F3" i="8"/>
  <c r="H20" i="7"/>
  <c r="G20" i="7" s="1"/>
  <c r="F20" i="7"/>
  <c r="D20" i="7"/>
  <c r="B20" i="7"/>
  <c r="A20" i="7"/>
  <c r="C20" i="7" s="1"/>
  <c r="I6" i="7" s="1"/>
  <c r="I17" i="7"/>
  <c r="I16" i="7"/>
  <c r="I15" i="7"/>
  <c r="I14" i="7"/>
  <c r="I13" i="7"/>
  <c r="I12" i="7"/>
  <c r="I11" i="7"/>
  <c r="I10" i="7"/>
  <c r="I9" i="7"/>
  <c r="F3" i="7"/>
  <c r="H20" i="6"/>
  <c r="G20" i="6"/>
  <c r="F20" i="6"/>
  <c r="D20" i="6"/>
  <c r="B20" i="6"/>
  <c r="I17" i="6"/>
  <c r="I16" i="6"/>
  <c r="I15" i="6"/>
  <c r="I14" i="6"/>
  <c r="I13" i="6"/>
  <c r="I12" i="6"/>
  <c r="I11" i="6"/>
  <c r="I10" i="6"/>
  <c r="I9" i="6"/>
  <c r="I8" i="6"/>
  <c r="I7" i="6"/>
  <c r="I6" i="6"/>
  <c r="F3" i="6"/>
  <c r="H20" i="5"/>
  <c r="G20" i="5" s="1"/>
  <c r="F20" i="5"/>
  <c r="D20" i="5"/>
  <c r="B20" i="5"/>
  <c r="I17" i="5"/>
  <c r="I16" i="5"/>
  <c r="I15" i="5"/>
  <c r="I14" i="5"/>
  <c r="I13" i="5"/>
  <c r="I12" i="5"/>
  <c r="I11" i="5"/>
  <c r="F3" i="5"/>
  <c r="H20" i="4"/>
  <c r="G20" i="4" s="1"/>
  <c r="F20" i="4"/>
  <c r="D20" i="4"/>
  <c r="B20" i="4"/>
  <c r="I17" i="4"/>
  <c r="I16" i="4"/>
  <c r="I15" i="4"/>
  <c r="I14" i="4"/>
  <c r="I13" i="4"/>
  <c r="I12" i="4"/>
  <c r="I11" i="4"/>
  <c r="I10" i="4"/>
  <c r="I9" i="4"/>
  <c r="I8" i="4"/>
  <c r="I7" i="4"/>
  <c r="I6" i="4"/>
  <c r="F3" i="4"/>
  <c r="H20" i="3"/>
  <c r="G20" i="3" s="1"/>
  <c r="F20" i="3"/>
  <c r="D20" i="3"/>
  <c r="B20" i="3"/>
  <c r="A20" i="3"/>
  <c r="C20" i="3" s="1"/>
  <c r="I12" i="3" s="1"/>
  <c r="I17" i="3"/>
  <c r="I16" i="3"/>
  <c r="I15" i="3"/>
  <c r="I14" i="3"/>
  <c r="I13" i="3"/>
  <c r="F3" i="3"/>
  <c r="H20" i="2"/>
  <c r="G20" i="2"/>
  <c r="F20" i="2"/>
  <c r="D20" i="2"/>
  <c r="B20" i="2"/>
  <c r="I17" i="2"/>
  <c r="I16" i="2"/>
  <c r="I15" i="2"/>
  <c r="I14" i="2"/>
  <c r="I13" i="2"/>
  <c r="I12" i="2"/>
  <c r="I11" i="2"/>
  <c r="I10" i="2"/>
  <c r="I9" i="2"/>
  <c r="I8" i="2"/>
  <c r="I7" i="2"/>
  <c r="I6" i="2"/>
  <c r="I5" i="2"/>
  <c r="F3" i="2"/>
  <c r="H20" i="1"/>
  <c r="G20" i="1" s="1"/>
  <c r="F20" i="1"/>
  <c r="D20" i="1"/>
  <c r="B20" i="1"/>
  <c r="I17" i="1"/>
  <c r="I16" i="1"/>
  <c r="I15" i="1"/>
  <c r="F3" i="1"/>
  <c r="I5" i="3" l="1"/>
  <c r="I9" i="3"/>
  <c r="I6" i="3"/>
  <c r="I10" i="3"/>
  <c r="I7" i="3"/>
  <c r="I11" i="3"/>
  <c r="I8" i="3"/>
  <c r="I8" i="7"/>
  <c r="I7" i="7"/>
  <c r="I4" i="17"/>
  <c r="I3" i="17"/>
  <c r="E20" i="17"/>
  <c r="H22" i="17" s="1"/>
  <c r="H23" i="17" s="1"/>
  <c r="I6" i="17"/>
  <c r="I5" i="17"/>
  <c r="H22" i="16"/>
  <c r="H23" i="16" s="1"/>
  <c r="I13" i="18"/>
  <c r="I9" i="18"/>
  <c r="I5" i="18"/>
  <c r="I12" i="18"/>
  <c r="I8" i="18"/>
  <c r="I4" i="18"/>
  <c r="I11" i="18"/>
  <c r="I7" i="18"/>
  <c r="I3" i="18"/>
  <c r="E20" i="18"/>
  <c r="H22" i="18" s="1"/>
  <c r="H23" i="18" s="1"/>
  <c r="I10" i="18"/>
  <c r="I6" i="18"/>
  <c r="I4" i="3"/>
  <c r="I3" i="3"/>
  <c r="H22" i="3"/>
  <c r="H23" i="3" s="1"/>
  <c r="E20" i="3"/>
  <c r="E3" i="3"/>
  <c r="E12" i="51" s="1"/>
  <c r="F12" i="51" s="1"/>
  <c r="I5" i="25"/>
  <c r="I3" i="25"/>
  <c r="E20" i="25"/>
  <c r="E3" i="25" s="1"/>
  <c r="I4" i="25"/>
  <c r="I3" i="27"/>
  <c r="I5" i="27"/>
  <c r="I4" i="27"/>
  <c r="E20" i="27" s="1"/>
  <c r="I5" i="29"/>
  <c r="I3" i="29"/>
  <c r="E20" i="29"/>
  <c r="E3" i="29" s="1"/>
  <c r="I4" i="29"/>
  <c r="I5" i="8"/>
  <c r="E3" i="8"/>
  <c r="I4" i="8"/>
  <c r="I3" i="8"/>
  <c r="H22" i="8"/>
  <c r="H23" i="8" s="1"/>
  <c r="E20" i="8"/>
  <c r="I5" i="13"/>
  <c r="I4" i="13"/>
  <c r="I7" i="13"/>
  <c r="I3" i="13"/>
  <c r="E20" i="13" s="1"/>
  <c r="I6" i="13"/>
  <c r="I4" i="7"/>
  <c r="I3" i="7"/>
  <c r="H22" i="7"/>
  <c r="H23" i="7" s="1"/>
  <c r="E20" i="7"/>
  <c r="I5" i="7"/>
  <c r="E3" i="7"/>
  <c r="E16" i="51" s="1"/>
  <c r="F16" i="51" s="1"/>
  <c r="I4" i="12"/>
  <c r="I3" i="12"/>
  <c r="H22" i="12"/>
  <c r="H23" i="12" s="1"/>
  <c r="E20" i="12"/>
  <c r="I6" i="12"/>
  <c r="I5" i="12"/>
  <c r="E3" i="12"/>
  <c r="I5" i="19"/>
  <c r="I4" i="19"/>
  <c r="I3" i="19"/>
  <c r="E20" i="19" s="1"/>
  <c r="I6" i="19"/>
  <c r="A20" i="4"/>
  <c r="C20" i="4" s="1"/>
  <c r="C20" i="24"/>
  <c r="E20" i="24"/>
  <c r="A20" i="24"/>
  <c r="A20" i="26"/>
  <c r="C20" i="26"/>
  <c r="A20" i="28"/>
  <c r="C20" i="28" s="1"/>
  <c r="I5" i="33"/>
  <c r="I4" i="33"/>
  <c r="I3" i="33"/>
  <c r="I5" i="41"/>
  <c r="I4" i="41"/>
  <c r="I3" i="41"/>
  <c r="E20" i="41" s="1"/>
  <c r="I5" i="49"/>
  <c r="I4" i="49"/>
  <c r="I3" i="49"/>
  <c r="E20" i="49" s="1"/>
  <c r="E3" i="11"/>
  <c r="C20" i="20"/>
  <c r="A20" i="21"/>
  <c r="C20" i="21" s="1"/>
  <c r="C20" i="23"/>
  <c r="E20" i="23"/>
  <c r="A20" i="23"/>
  <c r="A20" i="2"/>
  <c r="C20" i="2" s="1"/>
  <c r="E20" i="2" s="1"/>
  <c r="A20" i="6"/>
  <c r="C20" i="6" s="1"/>
  <c r="A20" i="10"/>
  <c r="C20" i="10" s="1"/>
  <c r="A20" i="11"/>
  <c r="I3" i="11" s="1"/>
  <c r="H22" i="11"/>
  <c r="H23" i="11" s="1"/>
  <c r="A20" i="15"/>
  <c r="C20" i="15" s="1"/>
  <c r="A20" i="16"/>
  <c r="I3" i="16" s="1"/>
  <c r="C20" i="22"/>
  <c r="E20" i="22" s="1"/>
  <c r="A20" i="22"/>
  <c r="A20" i="30"/>
  <c r="C20" i="30" s="1"/>
  <c r="A20" i="34"/>
  <c r="C20" i="34"/>
  <c r="I5" i="37"/>
  <c r="I4" i="37"/>
  <c r="I3" i="37"/>
  <c r="E20" i="37" s="1"/>
  <c r="I5" i="45"/>
  <c r="I4" i="45"/>
  <c r="I3" i="45"/>
  <c r="E20" i="45" s="1"/>
  <c r="A20" i="1"/>
  <c r="C20" i="1" s="1"/>
  <c r="A20" i="5"/>
  <c r="C20" i="5" s="1"/>
  <c r="A20" i="9"/>
  <c r="C20" i="9" s="1"/>
  <c r="A20" i="14"/>
  <c r="C20" i="14" s="1"/>
  <c r="I3" i="31"/>
  <c r="I5" i="31"/>
  <c r="E20" i="31" s="1"/>
  <c r="E20" i="33"/>
  <c r="E3" i="33" s="1"/>
  <c r="H22" i="33"/>
  <c r="H23" i="33" s="1"/>
  <c r="I3" i="35"/>
  <c r="I5" i="35"/>
  <c r="E20" i="35" s="1"/>
  <c r="C20" i="40"/>
  <c r="C20" i="48"/>
  <c r="A20" i="32"/>
  <c r="C20" i="32" s="1"/>
  <c r="A20" i="36"/>
  <c r="C20" i="36" s="1"/>
  <c r="I5" i="39"/>
  <c r="E20" i="39" s="1"/>
  <c r="A20" i="40"/>
  <c r="C20" i="42"/>
  <c r="I5" i="43"/>
  <c r="A20" i="44"/>
  <c r="C20" i="44" s="1"/>
  <c r="C20" i="46"/>
  <c r="I5" i="47"/>
  <c r="A20" i="48"/>
  <c r="E20" i="43"/>
  <c r="H22" i="43" s="1"/>
  <c r="H23" i="43" s="1"/>
  <c r="E20" i="47"/>
  <c r="E3" i="47" s="1"/>
  <c r="H22" i="47"/>
  <c r="H23" i="47" s="1"/>
  <c r="A20" i="38"/>
  <c r="C20" i="38" s="1"/>
  <c r="A20" i="42"/>
  <c r="A20" i="46"/>
  <c r="A20" i="50"/>
  <c r="C20" i="50" s="1"/>
  <c r="I10" i="5" l="1"/>
  <c r="I9" i="5"/>
  <c r="I7" i="5"/>
  <c r="I6" i="5"/>
  <c r="I8" i="5"/>
  <c r="E20" i="1"/>
  <c r="I11" i="1"/>
  <c r="I7" i="1"/>
  <c r="I12" i="1"/>
  <c r="I8" i="1"/>
  <c r="I14" i="1"/>
  <c r="I10" i="1"/>
  <c r="I6" i="1"/>
  <c r="I13" i="1"/>
  <c r="I9" i="1"/>
  <c r="I5" i="1"/>
  <c r="I3" i="38"/>
  <c r="I5" i="38"/>
  <c r="E20" i="38" s="1"/>
  <c r="I4" i="38"/>
  <c r="I5" i="36"/>
  <c r="I4" i="36"/>
  <c r="I3" i="36"/>
  <c r="E20" i="36"/>
  <c r="H22" i="36" s="1"/>
  <c r="H23" i="36" s="1"/>
  <c r="H22" i="5"/>
  <c r="H23" i="5" s="1"/>
  <c r="I5" i="5"/>
  <c r="E3" i="5"/>
  <c r="E14" i="51" s="1"/>
  <c r="F14" i="51" s="1"/>
  <c r="I4" i="5"/>
  <c r="I3" i="5"/>
  <c r="E20" i="5"/>
  <c r="I3" i="50"/>
  <c r="E20" i="50" s="1"/>
  <c r="I5" i="50"/>
  <c r="I4" i="50"/>
  <c r="I4" i="32"/>
  <c r="I3" i="32"/>
  <c r="I5" i="32"/>
  <c r="E20" i="32"/>
  <c r="E3" i="32" s="1"/>
  <c r="E3" i="37"/>
  <c r="H22" i="37"/>
  <c r="H23" i="37" s="1"/>
  <c r="E3" i="13"/>
  <c r="H22" i="13"/>
  <c r="H23" i="13" s="1"/>
  <c r="E3" i="35"/>
  <c r="H22" i="35"/>
  <c r="H23" i="35" s="1"/>
  <c r="I10" i="14"/>
  <c r="I6" i="14"/>
  <c r="I9" i="14"/>
  <c r="I5" i="14"/>
  <c r="I12" i="14"/>
  <c r="I8" i="14"/>
  <c r="I4" i="14"/>
  <c r="I11" i="14"/>
  <c r="I7" i="14"/>
  <c r="E20" i="14" s="1"/>
  <c r="I3" i="14"/>
  <c r="H22" i="45"/>
  <c r="H23" i="45" s="1"/>
  <c r="E3" i="45"/>
  <c r="I5" i="30"/>
  <c r="I4" i="30"/>
  <c r="E20" i="30" s="1"/>
  <c r="I3" i="30"/>
  <c r="I3" i="15"/>
  <c r="H22" i="15"/>
  <c r="H23" i="15" s="1"/>
  <c r="I6" i="15"/>
  <c r="I5" i="15"/>
  <c r="E3" i="15"/>
  <c r="I4" i="15"/>
  <c r="E20" i="15"/>
  <c r="E3" i="41"/>
  <c r="H22" i="41"/>
  <c r="H23" i="41" s="1"/>
  <c r="I5" i="4"/>
  <c r="E3" i="4"/>
  <c r="E13" i="51" s="1"/>
  <c r="F13" i="51" s="1"/>
  <c r="I4" i="4"/>
  <c r="I3" i="4"/>
  <c r="H22" i="4"/>
  <c r="H23" i="4" s="1"/>
  <c r="E20" i="4"/>
  <c r="I5" i="44"/>
  <c r="I4" i="44"/>
  <c r="I3" i="44"/>
  <c r="E20" i="44" s="1"/>
  <c r="E3" i="39"/>
  <c r="H22" i="39"/>
  <c r="H23" i="39" s="1"/>
  <c r="I10" i="9"/>
  <c r="I6" i="9"/>
  <c r="I9" i="9"/>
  <c r="I5" i="9"/>
  <c r="I8" i="9"/>
  <c r="I4" i="9"/>
  <c r="I11" i="9"/>
  <c r="I7" i="9"/>
  <c r="I3" i="9"/>
  <c r="E20" i="9"/>
  <c r="E3" i="9" s="1"/>
  <c r="E3" i="49"/>
  <c r="H22" i="49"/>
  <c r="H23" i="49" s="1"/>
  <c r="E3" i="27"/>
  <c r="H22" i="27"/>
  <c r="H23" i="27" s="1"/>
  <c r="E3" i="31"/>
  <c r="H22" i="31"/>
  <c r="H23" i="31" s="1"/>
  <c r="I8" i="21"/>
  <c r="I4" i="21"/>
  <c r="E20" i="21" s="1"/>
  <c r="I6" i="21"/>
  <c r="I7" i="21"/>
  <c r="I5" i="21"/>
  <c r="I3" i="21"/>
  <c r="I4" i="28"/>
  <c r="I5" i="28"/>
  <c r="I3" i="28"/>
  <c r="E20" i="28" s="1"/>
  <c r="H22" i="19"/>
  <c r="H23" i="19" s="1"/>
  <c r="E3" i="19"/>
  <c r="E3" i="43"/>
  <c r="I5" i="40"/>
  <c r="I4" i="40"/>
  <c r="I3" i="40"/>
  <c r="E20" i="40" s="1"/>
  <c r="E3" i="40" s="1"/>
  <c r="I3" i="6"/>
  <c r="H22" i="6"/>
  <c r="H23" i="6" s="1"/>
  <c r="I5" i="6"/>
  <c r="E3" i="6"/>
  <c r="E15" i="51" s="1"/>
  <c r="F15" i="51" s="1"/>
  <c r="I4" i="6"/>
  <c r="H22" i="29"/>
  <c r="H23" i="29" s="1"/>
  <c r="H22" i="25"/>
  <c r="H23" i="25" s="1"/>
  <c r="E3" i="18"/>
  <c r="I3" i="2"/>
  <c r="H22" i="2"/>
  <c r="H23" i="2" s="1"/>
  <c r="I4" i="2"/>
  <c r="E3" i="2"/>
  <c r="E11" i="51" s="1"/>
  <c r="F11" i="51" s="1"/>
  <c r="H22" i="23"/>
  <c r="H23" i="23" s="1"/>
  <c r="I3" i="23"/>
  <c r="E3" i="23"/>
  <c r="E3" i="17"/>
  <c r="I3" i="46"/>
  <c r="I5" i="46"/>
  <c r="I4" i="46"/>
  <c r="I5" i="48"/>
  <c r="I4" i="48"/>
  <c r="I3" i="48"/>
  <c r="I5" i="34"/>
  <c r="I4" i="34"/>
  <c r="I3" i="34"/>
  <c r="E20" i="34" s="1"/>
  <c r="I4" i="22"/>
  <c r="H22" i="22"/>
  <c r="H23" i="22" s="1"/>
  <c r="I6" i="22"/>
  <c r="E3" i="22"/>
  <c r="I5" i="22"/>
  <c r="I3" i="22"/>
  <c r="H22" i="1"/>
  <c r="H23" i="1" s="1"/>
  <c r="E3" i="1"/>
  <c r="E10" i="51" s="1"/>
  <c r="F10" i="51" s="1"/>
  <c r="I4" i="1"/>
  <c r="I3" i="1"/>
  <c r="I9" i="20"/>
  <c r="I5" i="20"/>
  <c r="I8" i="20"/>
  <c r="I4" i="20"/>
  <c r="I7" i="20"/>
  <c r="I3" i="20"/>
  <c r="E20" i="20" s="1"/>
  <c r="I10" i="20"/>
  <c r="I6" i="20"/>
  <c r="I4" i="26"/>
  <c r="I5" i="26"/>
  <c r="I3" i="26"/>
  <c r="E20" i="26" s="1"/>
  <c r="I3" i="42"/>
  <c r="I5" i="42"/>
  <c r="E20" i="42" s="1"/>
  <c r="I4" i="42"/>
  <c r="I3" i="10"/>
  <c r="H22" i="10"/>
  <c r="H23" i="10" s="1"/>
  <c r="I6" i="10"/>
  <c r="I5" i="10"/>
  <c r="E3" i="10"/>
  <c r="I4" i="10"/>
  <c r="E20" i="46"/>
  <c r="H22" i="46" s="1"/>
  <c r="H23" i="46" s="1"/>
  <c r="H22" i="24"/>
  <c r="H23" i="24" s="1"/>
  <c r="E3" i="24"/>
  <c r="I3" i="24"/>
  <c r="E20" i="6"/>
  <c r="E20" i="10"/>
  <c r="F17" i="51" l="1"/>
  <c r="E3" i="20"/>
  <c r="H22" i="20"/>
  <c r="H23" i="20" s="1"/>
  <c r="H22" i="42"/>
  <c r="H23" i="42" s="1"/>
  <c r="E3" i="42"/>
  <c r="E3" i="30"/>
  <c r="H22" i="30"/>
  <c r="H23" i="30" s="1"/>
  <c r="E3" i="21"/>
  <c r="H22" i="21"/>
  <c r="H23" i="21" s="1"/>
  <c r="E3" i="44"/>
  <c r="H22" i="44"/>
  <c r="H23" i="44" s="1"/>
  <c r="E3" i="14"/>
  <c r="H22" i="14"/>
  <c r="H23" i="14" s="1"/>
  <c r="H22" i="26"/>
  <c r="H23" i="26" s="1"/>
  <c r="E3" i="26"/>
  <c r="E3" i="28"/>
  <c r="H22" i="28"/>
  <c r="H23" i="28" s="1"/>
  <c r="E3" i="50"/>
  <c r="H22" i="50"/>
  <c r="H23" i="50" s="1"/>
  <c r="H22" i="38"/>
  <c r="H23" i="38" s="1"/>
  <c r="E3" i="38"/>
  <c r="E3" i="34"/>
  <c r="H22" i="34"/>
  <c r="H23" i="34" s="1"/>
  <c r="E3" i="46"/>
  <c r="H22" i="40"/>
  <c r="H23" i="40" s="1"/>
  <c r="H22" i="9"/>
  <c r="H23" i="9" s="1"/>
  <c r="E3" i="36"/>
  <c r="H22" i="32"/>
  <c r="H23" i="32" s="1"/>
  <c r="E20" i="48"/>
  <c r="H22" i="48" l="1"/>
  <c r="H23" i="48" s="1"/>
  <c r="E3" i="48"/>
</calcChain>
</file>

<file path=xl/sharedStrings.xml><?xml version="1.0" encoding="utf-8"?>
<sst xmlns="http://schemas.openxmlformats.org/spreadsheetml/2006/main" count="1609" uniqueCount="203">
  <si>
    <t>ESTIMATIVA DO ITEM</t>
  </si>
  <si>
    <t>ITEM 1</t>
  </si>
  <si>
    <t>MATERIAL OU SERVIÇO</t>
  </si>
  <si>
    <t>UNIDADE</t>
  </si>
  <si>
    <t>QUANT.</t>
  </si>
  <si>
    <t>PREÇO ESTIMADO</t>
  </si>
  <si>
    <t>MENOR PREÇO</t>
  </si>
  <si>
    <t>FONTE DE PESQUISA</t>
  </si>
  <si>
    <t>PREÇOS</t>
  </si>
  <si>
    <t>DESCARTE</t>
  </si>
  <si>
    <t xml:space="preserve">RH00002F5 Red Hat Enterprise Linux for Virtual Datacenters, Standard </t>
  </si>
  <si>
    <t>assinatura</t>
  </si>
  <si>
    <t>G3 Solutions</t>
  </si>
  <si>
    <t>PMGT</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</si>
  <si>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</si>
  <si>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</si>
  <si>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</si>
  <si>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</si>
  <si>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</si>
  <si>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</si>
  <si>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</si>
  <si>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</si>
  <si>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</si>
  <si>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</si>
  <si>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</si>
  <si>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</si>
  <si>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</si>
  <si>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</si>
  <si>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</si>
  <si>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</si>
  <si>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</si>
  <si>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RH00004F5 Red Hat Enterprise Linux Server, Standard (Physical or Virtual Nodes)</t>
  </si>
  <si>
    <t>ITEM 3</t>
  </si>
  <si>
    <t>MW00278F5 Red Hat Runtimes, Standard (16 Cores or 32 vCPUs)</t>
  </si>
  <si>
    <t>ITEM 4</t>
  </si>
  <si>
    <t>RH200 RHCSA Rapid Track course with exam</t>
  </si>
  <si>
    <t>InLearn Educação Ltda</t>
  </si>
  <si>
    <t>ITEM 5</t>
  </si>
  <si>
    <t>LS220 Red Hat Learning Subscription Standard</t>
  </si>
  <si>
    <t>ITEM 6</t>
  </si>
  <si>
    <t>LS330 Red Hat Learning Subscription for Developers</t>
  </si>
  <si>
    <t>ITEM 7</t>
  </si>
  <si>
    <t>MCT0032US Red Hat Training Unit</t>
  </si>
  <si>
    <t>ITEM 8</t>
  </si>
  <si>
    <t>BARBANTE DE ALGODÃO
Cor branca;
Rolo com 250g;
N.º 8;
Em embalagem individual;
Acondicionado em embalagens com até 20 unidades.</t>
  </si>
  <si>
    <t>RL</t>
  </si>
  <si>
    <t>ANA PAULA CRUZ DOS SANTOS 15160384871</t>
  </si>
  <si>
    <t>J G C DE MESQUITA LOCACAO DE MAO DE OBRA EIRELI</t>
  </si>
  <si>
    <t>ROSENEIDE DA SILVA 31624995691</t>
  </si>
  <si>
    <t>ITEM 9</t>
  </si>
  <si>
    <t xml:space="preserve">FITILHO
Em nylon;
Rolo com 1000g;
Embalados em fardos com até 25 unidades.
</t>
  </si>
  <si>
    <t>E. A. SCHMITT FREISLEBEN &amp; CIA LTDA</t>
  </si>
  <si>
    <t>SILVIO RODRIGUES DA SILVA 25301434802</t>
  </si>
  <si>
    <t>BC AGRO COMERCIO DE SEMENTES EIRELI</t>
  </si>
  <si>
    <t>POLO DISTRIBUIDORA E PRESTADORA DE SERVICOS EIRELI</t>
  </si>
  <si>
    <t>LIVRARIA E PAPELARIA RENASCER LTDA</t>
  </si>
  <si>
    <t>A C DO A D RODRIGUES EIRELI</t>
  </si>
  <si>
    <t>VIPE COMERCIAL EIRELI</t>
  </si>
  <si>
    <t>COMERCIAL FREDSON LTDA</t>
  </si>
  <si>
    <t>I A DA SILVA FILHO</t>
  </si>
  <si>
    <t>ITEM 10</t>
  </si>
  <si>
    <t>PLÁSTICO BOLHA
Bobina 1,30 x 100 metros;
Bolhas com, no máximo, 1cm.</t>
  </si>
  <si>
    <t>unidade</t>
  </si>
  <si>
    <t>GLOBO VISION COMERCIO E SERVICO LTDA</t>
  </si>
  <si>
    <t>LUIZ TADEO DAMASCHI</t>
  </si>
  <si>
    <t>COMERCIAL MILENIO EIRELI</t>
  </si>
  <si>
    <t>S. SCHNEIDER EIRELI</t>
  </si>
  <si>
    <t>ITEM 11</t>
  </si>
  <si>
    <t>PASTA TIPO MALOTE
Em material bagum
Cor: verde floresta
Dimensões: 40cm x 33cm x 1,5cm – largura x altura x profundidade, com variação permitida de ± 1,0 cm na altura ou largura.
Com zíper e dois cursores n.º 3, em cor preta, compatível com fechamento com lacre tipo espinha de peixe;
Com bolso em plástico cristal transparente, com abertura no lado direito;
Acabamento em Debrum na cor amarelo claro;
Estampa do brasão da república e demais inscrições na cor branca;
Inscrições: Justiça Eleitoral
Tribunal Regional Eleitoral da Bahia
Conforme modelo constante do anexo B. 2, também disponível na Seção de Gestão de Almoxarifado do TRE/BA
É obrigatório o fornecimento de prova para exame antes da confecção final</t>
  </si>
  <si>
    <t>MÁXIMO INDÚSTRIA E COMÉRCIO EIRELI</t>
  </si>
  <si>
    <t>ITEM 12</t>
  </si>
  <si>
    <t xml:space="preserve">FILME PARA EMBALAGEM, EM POLIETILENO, TIPO
STRETCH
Para aplicação manual;
Com estiramento não superior a 60%;
Para vedação de paletes e proteção do material;
Isento de partículas estranhas, ranhuras, furos e deformações;
Inodoro, incolor e com transparência;
Dimensões: Largura 500mm; Espessura 0,025mm (25 micra);
Peso aproximado de 4kg.
</t>
  </si>
  <si>
    <t>MAEPE MATERIAIS PARA EMPRESAS LTDA</t>
  </si>
  <si>
    <t>OLITHIER COMERCIO DE MATERIAIS E MERCADORIAS EIRELI</t>
  </si>
  <si>
    <t>PAPERPLAST</t>
  </si>
  <si>
    <t>PLASUL EMBALAGENS</t>
  </si>
  <si>
    <t>ITEM 13</t>
  </si>
  <si>
    <t xml:space="preserve">CADEADO
Corpo em latão maciço;
Haste em aço cromado;
Cor amarelo bronze;
Largura: 50 mm;
Altura da haste: 30 mm;
Acondicionados individualmente em caixa de papelão
</t>
  </si>
  <si>
    <t>SOBRAL-CHAVES E CARIMBOS LTDA</t>
  </si>
  <si>
    <t>A MEGA LOJA</t>
  </si>
  <si>
    <t>FIXPAR</t>
  </si>
  <si>
    <t>LF MAQUINAS E FERRAMENTAS</t>
  </si>
  <si>
    <t>ITEM 14</t>
  </si>
  <si>
    <t xml:space="preserve">CADEADO
Corpo em latão maciço;
Haste em aço cromado;
Cor amarelo bronze;
Largura: 20 mm;
Altura da haste: 20 mm;
Acondicionados individualmente em caixa de papelão
</t>
  </si>
  <si>
    <t>M G ALVARENGA LTDA</t>
  </si>
  <si>
    <t>COELHO E SILVA COMERCIO E SERVICOS LTDA</t>
  </si>
  <si>
    <t>LUZ DIVINA MATERIAIS DE CONSTRUCAO LTDA</t>
  </si>
  <si>
    <t>M R DUARTE BOAZ</t>
  </si>
  <si>
    <t>COMERCIAL VANGUARDEIRA EIRELI</t>
  </si>
  <si>
    <t>FERGAVI COMERCIAL LTDA</t>
  </si>
  <si>
    <t>JEFERSON ALEXON SANTOS 02286036926</t>
  </si>
  <si>
    <t>SAVIO C. DA SILVA – COMERCIO</t>
  </si>
  <si>
    <t>ALL SALES COMERCIO E SERVICOS LTDA</t>
  </si>
  <si>
    <t>ITEM 15</t>
  </si>
  <si>
    <t>PALETE EM MADEIRA
PBR-I – padrão brasileiro;
Em madeira de reflorestamento;
Não reversível;
Dupla face;
Quatro entradas, que permitam movimentação com paleteira ou empilhadeira;
Dimensões: 1200 mm x 1000 mm x 148 mm (comprimento x largura x altura);
Capacidade de carga: Dinâmica – 1.600kg;
Estática – 3.200kg;
Espessura da madeira: 24 mm para a face superior, face inferior e tábua de ligação; 76 mm para o bloco;
Conforme modelo constante do anexo B.2</t>
  </si>
  <si>
    <t>GLOBAL VISION PACK BRASIL LTDA</t>
  </si>
  <si>
    <t>JULIO CESAR SANTOS DA COSTA</t>
  </si>
  <si>
    <t>AMERICANAS</t>
  </si>
  <si>
    <t>CASA COM PALLET</t>
  </si>
  <si>
    <t>ITEM 16</t>
  </si>
  <si>
    <t xml:space="preserve">PALETE EM PLÁSTICO
Na cor preta, atóxico, não corrosivo, lavável, reciclável e empilhável;
Alta durabilidade e alta densidade;
Capacidade mínima de carga: dinâmica de 3.000Kg; estática de 8.500Kg; no rack de 2.500Kg;
Medidas aproximadas: 1200mm x 1000mm de área superior e altura de 170mm;
Fendas nas quatro laterais para manuseio por meio de carro plataforma;
Com sapata e deslizante;
Para uso em estante porta palete.
</t>
  </si>
  <si>
    <t>FABRICIO RACHADEL COSTA</t>
  </si>
  <si>
    <t>ITEM 17</t>
  </si>
  <si>
    <t>CONE PARA SINALIZAÇÃO
Confeccionado em PVC flexível moldado (sem emendas)
Predominantemente na cor laranja,
Com, no mínimo, 700 mm de altura e largura da base de 360 mm,
Com duas faixas brancas
Refletividade conforme películas tipo II (NBR 14644 da ABNT).</t>
  </si>
  <si>
    <t>N. T. LUIZE EIRELI</t>
  </si>
  <si>
    <t>J. V. NOGUEIRA IMPORTACAO E EXPORTACAO LTDA</t>
  </si>
  <si>
    <t>META COMERCIO DE FERRAGENS E FERRAMENTAS EIRELI</t>
  </si>
  <si>
    <t>SIS COMERCIO DE MATERIAIS E EQUIPAMENTOS LTDA</t>
  </si>
  <si>
    <t>ITEM 18</t>
  </si>
  <si>
    <t xml:space="preserve">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 3
É obrigatório o fornecimento de prova para exame antes da confecção final. 
</t>
  </si>
  <si>
    <t>PRISMA PAPELARIA EIRELI</t>
  </si>
  <si>
    <t>VHC PRINT SOLUCOES</t>
  </si>
  <si>
    <t>CAIXASNET</t>
  </si>
  <si>
    <t>CONTABILISTA</t>
  </si>
  <si>
    <t>EMBALAGEM FACIL</t>
  </si>
  <si>
    <t>ENVELOPE MANIA</t>
  </si>
  <si>
    <t>KALUNGA</t>
  </si>
  <si>
    <t>LEPOK</t>
  </si>
  <si>
    <t>NET EMBALAGENS</t>
  </si>
  <si>
    <t>OCEANO B2B</t>
  </si>
  <si>
    <t>PAPELARIA QUEIROZ</t>
  </si>
  <si>
    <t>ITEM 19</t>
  </si>
  <si>
    <r>
      <rPr>
        <b/>
        <sz val="10"/>
        <color rgb="FF000000"/>
        <rFont val="Calibri"/>
        <family val="2"/>
        <charset val="1"/>
      </rPr>
      <t xml:space="preserve">FITA ADESIVA
</t>
    </r>
    <r>
      <rPr>
        <sz val="10"/>
        <color rgb="FF000000"/>
        <rFont val="Calibri"/>
        <family val="2"/>
        <charset val="1"/>
      </rPr>
      <t xml:space="preserve">Em polipropileno;
Dimensões: 48mm x 50m – largura x comprimento;
Incolor;
Com impressão ao longo do comprimento, com intervalos regulares de 5 cm, da inscrição ‘TRE-BA’
Tamanho aproximado da fonte: 1 cm (+ 0,2cm);
Acondicionadas em caixas;
É obrigatório o fornecimento de prova para exame antes da confecção final. 
</t>
    </r>
  </si>
  <si>
    <t>H. C. CORDEIRO</t>
  </si>
  <si>
    <t>BAZAR CRISFER LTDA</t>
  </si>
  <si>
    <t>M R SANDES EIRELI</t>
  </si>
  <si>
    <t>FRAMOT BAZAR E UTILIDADES LTDA</t>
  </si>
  <si>
    <t>ITEM 20</t>
  </si>
  <si>
    <t>CAIXA ARQUIVO
Confeccionadas em papelão;
Parede simples;
Paredes externas na cor branca;
Baixa acidez (ph acima de 6);
Dimensões da caixa montada: (14,0 x 24,0 x 38,0) cm, correspondendo respectivamente a largura, altura e
profundidade (podendo variar em +/- 0,5cm);
Em fardos cintados com duas fitas;
Estritamente conforme modelo disponível na Seção de Gestão de Almoxarifado do TRE-BA;
É obrigatório o fornecimento de prova para exame antes da confecção final.</t>
  </si>
  <si>
    <t>RAFA PAPER DISTRIBUIDORA EIRELI</t>
  </si>
  <si>
    <t>SINGULAR COMERCIAL E SERVICOS EIRELI</t>
  </si>
  <si>
    <t>CASA DO PAPELAO</t>
  </si>
  <si>
    <t>DELLA</t>
  </si>
  <si>
    <t>DIA A DIA STORE</t>
  </si>
  <si>
    <t>MAGAZINE LUIZA</t>
  </si>
  <si>
    <t>ITEM 21</t>
  </si>
  <si>
    <t>CAIXA DE PAPELÃO
De parede simples;
Confeccionadas em Kraft Gramatura: 450g/m2;
Dimensões da caixa montada: (37 x 29 x 24,5) cm (comprimento x largura x altura). (podendo variar em +/-
0,5cm);
Embalagem: fardo com 25 unidades, cintados com 2 fitas;
Conforme modelo disponível na Seção de Gestão de Almoxarifado do TRE-BA
É obrigatório o fornecimento de prova para exame antes da confecção final</t>
  </si>
  <si>
    <t>BIGPLAST</t>
  </si>
  <si>
    <t>CREATIVE EMBALAGENS</t>
  </si>
  <si>
    <t>NZB EMBALAGENS</t>
  </si>
  <si>
    <t>PKT EMBALAGENS</t>
  </si>
  <si>
    <t>MARILANA STEFANINI MESSA 30003195813</t>
  </si>
  <si>
    <t>ITEM 22</t>
  </si>
  <si>
    <t>CAIXA DE PAPELÃO
De parede simples;
Confeccionadas em Kraft Gramatura: 450 g/m2;
Dimensões da caixa montada: (37 x 29 x 12,5) cm (comprimento x largura x altura). (podendo variar em +/-
0,5cm);
Embalagem: fardo com 25 unidades, cintados com 2 fitas;
Conforme modelo disponível na Seção de Gestão de Almoxarifado do TRE-BA;
É obrigatório o fornecimento de prova para exame antes da confecção final.</t>
  </si>
  <si>
    <t>MAGNANI EMBALAGENS</t>
  </si>
  <si>
    <t>ITEM 23</t>
  </si>
  <si>
    <t>ITEM 24</t>
  </si>
  <si>
    <t>ITEM 25</t>
  </si>
  <si>
    <t xml:space="preserve">EXEMPLO - Serviço de confecção de placa em alumínio composto, medindo (2,06 x 0,75)m, fundo branco, com gravação das letras em baixo 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Com 4 furações nas extremidades. Deverão ser fornecidos os 4 parafusos necessários para a fixação em parede de alvenaria. 
Ver desenho PLACA 01 - Será solicitada sempre que surgir uma nova necessidade, quando então será informado o nº da zona eleitoral e o nome dos municípios a serem incluídos na inscrição da placa.
</t>
  </si>
  <si>
    <t>NÃO ALTERE AS FÓRMULAS LTDA</t>
  </si>
  <si>
    <t>NÃO MUDE A ALTURA DAS LINHAS S.A</t>
  </si>
  <si>
    <t>NÃO MUDE AS CORES LTDA</t>
  </si>
  <si>
    <t>ITEM 26</t>
  </si>
  <si>
    <t>ITEM 27</t>
  </si>
  <si>
    <t>ITEM 28</t>
  </si>
  <si>
    <t>ITEM 29</t>
  </si>
  <si>
    <t>ITEM 30</t>
  </si>
  <si>
    <t>ITEM 31</t>
  </si>
  <si>
    <t>ITEM 32</t>
  </si>
  <si>
    <t>ITEM 33</t>
  </si>
  <si>
    <t>ITEM 34</t>
  </si>
  <si>
    <t>ITEM 35</t>
  </si>
  <si>
    <t>ITEM 36</t>
  </si>
  <si>
    <t>ITEM 37</t>
  </si>
  <si>
    <t>ITEM 38</t>
  </si>
  <si>
    <t>ITEM 39</t>
  </si>
  <si>
    <t>ITEM 40</t>
  </si>
  <si>
    <t>ITEM 41</t>
  </si>
  <si>
    <t>ITEM 42</t>
  </si>
  <si>
    <t>ITEM 43</t>
  </si>
  <si>
    <t>ITEM 44</t>
  </si>
  <si>
    <t>ITEM 45</t>
  </si>
  <si>
    <t>ITEM 46</t>
  </si>
  <si>
    <t>ITEM 47</t>
  </si>
  <si>
    <t>ITEM 48</t>
  </si>
  <si>
    <t>ITEM 49</t>
  </si>
  <si>
    <t>ITEM 50</t>
  </si>
  <si>
    <t>TRIBUNAL REGIONAL ELEITORAL DA BAHIA</t>
  </si>
  <si>
    <t>Seção de Análise e Aquisições</t>
  </si>
  <si>
    <t>RESULTADO DA ESTIMATIVA</t>
  </si>
  <si>
    <t>Item</t>
  </si>
  <si>
    <t>Descrição</t>
  </si>
  <si>
    <t>Unidade de Fornecimento</t>
  </si>
  <si>
    <t>Quantidade</t>
  </si>
  <si>
    <t>Valor Unitário</t>
  </si>
  <si>
    <t>Valor Total</t>
  </si>
  <si>
    <t>VALOR TOTAL ESTIMADO</t>
  </si>
  <si>
    <t>Tech Lead Servicos e Comercio de Informatica Ltda</t>
  </si>
  <si>
    <t>Ingram Micro Brasil Ltda</t>
  </si>
  <si>
    <t>PARS Produtos de Processamento de Dados Ltda</t>
  </si>
  <si>
    <t>22.233.581/0001-44 AX4B SISTEMAS DE INFORMATICA LTDA</t>
  </si>
  <si>
    <t>10.858.890/0001-20 SYSTEM MANAGER TECNOLOGIA EM INFORMATICA LTDA</t>
  </si>
  <si>
    <t>39.140.223/0001-90 WALL STREET VIDEO E TECNOLOGIA LTDA</t>
  </si>
  <si>
    <t>07.192.480/0001-89 AMM TECNOLOGIA E SERVICOS DE INFORMATICA LTDA</t>
  </si>
  <si>
    <t>07.880.897/0001-34 SUPORTE INFORMATICA SOLUCOES LTDA</t>
  </si>
  <si>
    <t>27.626.290/0008-06 PARS PRODUTOS DE PROCESSAMENTO DE DADOS LTDA</t>
  </si>
  <si>
    <t>10.757.593/0001-99 THS TECNOLOGIA INFORMACAO E COMUNICACAO LTDA</t>
  </si>
  <si>
    <t>24.191.531/0001-77 NOVA SOLUCAO SERVICOS DE TECNOLOGIA LTDA</t>
  </si>
  <si>
    <t>21.547.011/0001-66 ALLTECH - SOLUCOES EM TECNOLOGIA LTDA</t>
  </si>
  <si>
    <t>12.006.665/0001-91 CHAIN TECNOLOGIA E SERVICOS LTDA</t>
  </si>
  <si>
    <t>01.567.165/0001-02 OS INFORMATICA LTDA</t>
  </si>
  <si>
    <t>08.821.745/0001-23 CERTSYS TECNOLOGIA DA INFORMACAO LTDA</t>
  </si>
  <si>
    <t>14.139.773/0001-68 EXTREME DIGITAL CONSULTORIA E REPRESENTACOES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</si>
</sst>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R$-416]\ #,##0.00;[Red]\-[$R$-416]\ #,##0.00"/>
    <numFmt numFmtId="165" formatCode="_-&quot;R$ &quot;* #,##0.00_-;&quot;-R$ &quot;* #,##0.00_-;_-&quot;R$ &quot;* \-??_-;_-@_-"/>
  </numFmts>
  <fonts count="17">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sz val="10"/>
      <name val="Arial"/>
      <charset val="1"/>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1">
    <xf numFmtId="0" fontId="0" fillId="0" borderId="0"/>
    <xf numFmtId="165" fontId="16"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58">
    <xf numFmtId="0" fontId="0" fillId="0" borderId="0" xfId="0"/>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4" fillId="0" borderId="2" xfId="0" applyNumberFormat="1" applyFont="1" applyBorder="1" applyAlignment="1" applyProtection="1">
      <alignment horizontal="center" shrinkToFit="1"/>
      <protection locked="0"/>
    </xf>
    <xf numFmtId="164" fontId="14"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3" fillId="0" borderId="4"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5"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4" fillId="0" borderId="0" xfId="0" applyNumberFormat="1" applyFont="1" applyBorder="1" applyAlignment="1" applyProtection="1">
      <alignment horizontal="center"/>
      <protection locked="0"/>
    </xf>
    <xf numFmtId="0" fontId="14" fillId="10" borderId="2" xfId="0" applyFont="1" applyFill="1" applyBorder="1" applyAlignment="1" applyProtection="1">
      <alignment horizontal="center" vertical="center"/>
    </xf>
    <xf numFmtId="0" fontId="14"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3" fillId="10" borderId="4"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3" fillId="0" borderId="0" xfId="0" applyNumberFormat="1" applyFont="1" applyBorder="1" applyAlignment="1" applyProtection="1">
      <protection locked="0"/>
    </xf>
    <xf numFmtId="164" fontId="14" fillId="10" borderId="2" xfId="0" applyNumberFormat="1" applyFont="1" applyFill="1" applyBorder="1" applyAlignment="1" applyProtection="1">
      <alignment horizontal="center" vertical="center"/>
    </xf>
    <xf numFmtId="164" fontId="13" fillId="10" borderId="2" xfId="0" applyNumberFormat="1" applyFont="1" applyFill="1" applyBorder="1" applyAlignment="1" applyProtection="1">
      <alignment horizontal="right" shrinkToFit="1"/>
    </xf>
    <xf numFmtId="164" fontId="14" fillId="0" borderId="0" xfId="0" applyNumberFormat="1" applyFont="1" applyBorder="1" applyAlignment="1" applyProtection="1">
      <protection locked="0"/>
    </xf>
    <xf numFmtId="0" fontId="10" fillId="0" borderId="0" xfId="0" applyFont="1" applyAlignment="1">
      <alignment wrapText="1"/>
    </xf>
    <xf numFmtId="0" fontId="10" fillId="0" borderId="0" xfId="0" applyFont="1" applyAlignment="1"/>
    <xf numFmtId="0" fontId="11" fillId="0" borderId="0" xfId="0" applyFont="1" applyBorder="1" applyAlignment="1">
      <alignment horizontal="center" wrapText="1"/>
    </xf>
    <xf numFmtId="0" fontId="11" fillId="0" borderId="7" xfId="0" applyFont="1" applyBorder="1" applyAlignment="1">
      <alignment horizontal="center" wrapText="1"/>
    </xf>
    <xf numFmtId="0" fontId="12"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2" xfId="0" applyFont="1" applyFill="1" applyBorder="1" applyAlignment="1">
      <alignment vertical="center" wrapText="1"/>
    </xf>
    <xf numFmtId="165" fontId="10" fillId="10" borderId="2" xfId="1" applyFont="1" applyFill="1" applyBorder="1" applyAlignment="1" applyProtection="1">
      <alignment vertical="center" wrapText="1"/>
    </xf>
    <xf numFmtId="0" fontId="10" fillId="0" borderId="0" xfId="0" applyFont="1" applyAlignment="1">
      <alignment vertical="center"/>
    </xf>
    <xf numFmtId="0" fontId="11" fillId="0" borderId="4" xfId="0" applyFont="1" applyBorder="1" applyAlignment="1">
      <alignment wrapText="1"/>
    </xf>
    <xf numFmtId="165" fontId="12" fillId="10" borderId="2" xfId="1" applyFont="1" applyFill="1" applyBorder="1" applyAlignment="1" applyProtection="1">
      <alignment vertical="center" wrapText="1"/>
    </xf>
    <xf numFmtId="0" fontId="10" fillId="10" borderId="6" xfId="0" applyFont="1" applyFill="1" applyBorder="1" applyAlignment="1" applyProtection="1">
      <alignment wrapText="1"/>
    </xf>
    <xf numFmtId="0" fontId="10" fillId="10" borderId="2" xfId="0" applyFont="1" applyFill="1" applyBorder="1" applyAlignment="1" applyProtection="1">
      <alignment wrapText="1"/>
    </xf>
    <xf numFmtId="0" fontId="12" fillId="10"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1" fillId="9" borderId="2" xfId="0" applyFont="1" applyFill="1" applyBorder="1" applyAlignment="1" applyProtection="1">
      <alignment horizontal="center"/>
    </xf>
    <xf numFmtId="0" fontId="12" fillId="0" borderId="3" xfId="0" applyFont="1" applyBorder="1" applyAlignment="1" applyProtection="1">
      <alignment horizontal="center" vertical="center"/>
      <protection locked="0"/>
    </xf>
    <xf numFmtId="0" fontId="13" fillId="0" borderId="2" xfId="0" applyFont="1" applyBorder="1" applyAlignment="1" applyProtection="1">
      <alignment vertical="top" wrapText="1"/>
      <protection locked="0"/>
    </xf>
    <xf numFmtId="0" fontId="13" fillId="0" borderId="2"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shrinkToFit="1"/>
      <protection locked="0"/>
    </xf>
    <xf numFmtId="164" fontId="14" fillId="10" borderId="2" xfId="0" applyNumberFormat="1" applyFont="1" applyFill="1" applyBorder="1" applyAlignment="1" applyProtection="1">
      <alignment horizontal="center" vertical="center" shrinkToFit="1"/>
    </xf>
    <xf numFmtId="0" fontId="14" fillId="0" borderId="2" xfId="0" applyFont="1" applyBorder="1" applyAlignment="1" applyProtection="1">
      <alignment vertical="top" wrapText="1"/>
      <protection locked="0"/>
    </xf>
    <xf numFmtId="0" fontId="11" fillId="0" borderId="0" xfId="0" applyFont="1" applyBorder="1" applyAlignment="1">
      <alignment horizontal="center" vertical="center" wrapText="1"/>
    </xf>
    <xf numFmtId="0" fontId="11" fillId="9" borderId="2" xfId="0" applyFont="1" applyFill="1" applyBorder="1" applyAlignment="1">
      <alignment horizontal="center" wrapText="1"/>
    </xf>
  </cellXfs>
  <cellStyles count="21">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3531045</xdr:colOff>
      <xdr:row>0</xdr:row>
      <xdr:rowOff>0</xdr:rowOff>
    </xdr:from>
    <xdr:to>
      <xdr:col>2</xdr:col>
      <xdr:colOff>596670</xdr:colOff>
      <xdr:row>3</xdr:row>
      <xdr:rowOff>114840</xdr:rowOff>
    </xdr:to>
    <xdr:pic>
      <xdr:nvPicPr>
        <xdr:cNvPr id="2" name="Figura 1"/>
        <xdr:cNvPicPr/>
      </xdr:nvPicPr>
      <xdr:blipFill>
        <a:blip xmlns:r="http://schemas.openxmlformats.org/officeDocument/2006/relationships" r:embed="rId1"/>
        <a:stretch/>
      </xdr:blipFill>
      <xdr:spPr>
        <a:xfrm>
          <a:off x="4140645" y="0"/>
          <a:ext cx="599400" cy="600615"/>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4" sqref="G14"/>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v>
      </c>
      <c r="B2" s="2" t="s">
        <v>2</v>
      </c>
      <c r="C2" s="2" t="s">
        <v>3</v>
      </c>
      <c r="D2" s="2" t="s">
        <v>4</v>
      </c>
      <c r="E2" s="3" t="s">
        <v>5</v>
      </c>
      <c r="F2" s="3" t="s">
        <v>6</v>
      </c>
      <c r="G2" s="2" t="s">
        <v>7</v>
      </c>
      <c r="H2" s="4" t="s">
        <v>8</v>
      </c>
      <c r="I2" s="5" t="s">
        <v>9</v>
      </c>
    </row>
    <row r="3" spans="1:9" ht="12.75" customHeight="1">
      <c r="A3" s="50"/>
      <c r="B3" s="51" t="s">
        <v>10</v>
      </c>
      <c r="C3" s="52" t="s">
        <v>11</v>
      </c>
      <c r="D3" s="53">
        <v>8</v>
      </c>
      <c r="E3" s="54">
        <f>IF(C20&lt;=25%,D20,MIN(E20:F20))</f>
        <v>65919.740000000005</v>
      </c>
      <c r="F3" s="54">
        <f>MIN(H3:H17)</f>
        <v>53323.03</v>
      </c>
      <c r="G3" s="6" t="s">
        <v>12</v>
      </c>
      <c r="H3" s="7">
        <v>65677</v>
      </c>
      <c r="I3" s="8" t="str">
        <f t="shared" ref="I3:I17" si="0">IF(H3="","",(IF($C$20&lt;25%,"N/A",IF(H3&lt;=($D$20+$A$20),H3,"Descartado"))))</f>
        <v>N/A</v>
      </c>
    </row>
    <row r="4" spans="1:9">
      <c r="A4" s="50"/>
      <c r="B4" s="51"/>
      <c r="C4" s="52"/>
      <c r="D4" s="53"/>
      <c r="E4" s="54"/>
      <c r="F4" s="54"/>
      <c r="G4" s="6" t="s">
        <v>13</v>
      </c>
      <c r="H4" s="7">
        <v>68766.710000000006</v>
      </c>
      <c r="I4" s="8" t="str">
        <f t="shared" si="0"/>
        <v>N/A</v>
      </c>
    </row>
    <row r="5" spans="1:9">
      <c r="A5" s="50"/>
      <c r="B5" s="51"/>
      <c r="C5" s="52"/>
      <c r="D5" s="53"/>
      <c r="E5" s="54"/>
      <c r="F5" s="54"/>
      <c r="G5" s="6" t="s">
        <v>190</v>
      </c>
      <c r="H5" s="7">
        <v>61532.39</v>
      </c>
      <c r="I5" s="8" t="str">
        <f t="shared" si="0"/>
        <v>N/A</v>
      </c>
    </row>
    <row r="6" spans="1:9">
      <c r="A6" s="50"/>
      <c r="B6" s="51"/>
      <c r="C6" s="52"/>
      <c r="D6" s="53"/>
      <c r="E6" s="54"/>
      <c r="F6" s="54"/>
      <c r="G6" s="6" t="s">
        <v>191</v>
      </c>
      <c r="H6" s="7">
        <v>66079.360000000001</v>
      </c>
      <c r="I6" s="8" t="str">
        <f t="shared" si="0"/>
        <v>N/A</v>
      </c>
    </row>
    <row r="7" spans="1:9">
      <c r="A7" s="50"/>
      <c r="B7" s="51"/>
      <c r="C7" s="52"/>
      <c r="D7" s="53"/>
      <c r="E7" s="54"/>
      <c r="F7" s="54"/>
      <c r="G7" s="6" t="s">
        <v>192</v>
      </c>
      <c r="H7" s="7">
        <v>81550.259999999995</v>
      </c>
      <c r="I7" s="8" t="str">
        <f t="shared" si="0"/>
        <v>N/A</v>
      </c>
    </row>
    <row r="8" spans="1:9">
      <c r="A8" s="50"/>
      <c r="B8" s="51"/>
      <c r="C8" s="52"/>
      <c r="D8" s="53"/>
      <c r="E8" s="54"/>
      <c r="F8" s="54"/>
      <c r="G8" s="6" t="s">
        <v>193</v>
      </c>
      <c r="H8" s="7">
        <v>54224.83</v>
      </c>
      <c r="I8" s="8" t="str">
        <f t="shared" si="0"/>
        <v>N/A</v>
      </c>
    </row>
    <row r="9" spans="1:9">
      <c r="A9" s="50"/>
      <c r="B9" s="51"/>
      <c r="C9" s="52"/>
      <c r="D9" s="53"/>
      <c r="E9" s="54"/>
      <c r="F9" s="54"/>
      <c r="G9" s="6" t="s">
        <v>194</v>
      </c>
      <c r="H9" s="7">
        <v>53323.03</v>
      </c>
      <c r="I9" s="8" t="str">
        <f t="shared" si="0"/>
        <v>N/A</v>
      </c>
    </row>
    <row r="10" spans="1:9">
      <c r="A10" s="50"/>
      <c r="B10" s="51"/>
      <c r="C10" s="52"/>
      <c r="D10" s="53"/>
      <c r="E10" s="54"/>
      <c r="F10" s="54"/>
      <c r="G10" s="6" t="s">
        <v>195</v>
      </c>
      <c r="H10" s="7">
        <v>58079.199999999997</v>
      </c>
      <c r="I10" s="8" t="str">
        <f t="shared" si="0"/>
        <v>N/A</v>
      </c>
    </row>
    <row r="11" spans="1:9">
      <c r="A11" s="50"/>
      <c r="B11" s="51"/>
      <c r="C11" s="52"/>
      <c r="D11" s="53"/>
      <c r="E11" s="54"/>
      <c r="F11" s="54"/>
      <c r="G11" s="6" t="s">
        <v>196</v>
      </c>
      <c r="H11" s="7">
        <v>72892.479999999996</v>
      </c>
      <c r="I11" s="8" t="str">
        <f t="shared" si="0"/>
        <v>N/A</v>
      </c>
    </row>
    <row r="12" spans="1:9">
      <c r="A12" s="50"/>
      <c r="B12" s="51"/>
      <c r="C12" s="52"/>
      <c r="D12" s="53"/>
      <c r="E12" s="54"/>
      <c r="F12" s="54"/>
      <c r="G12" s="6" t="s">
        <v>197</v>
      </c>
      <c r="H12" s="7">
        <v>77072.179999999993</v>
      </c>
      <c r="I12" s="8" t="str">
        <f t="shared" si="0"/>
        <v>N/A</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9437.9243610883077</v>
      </c>
      <c r="B20" s="19">
        <f>COUNT(H3:H17)</f>
        <v>10</v>
      </c>
      <c r="C20" s="20">
        <f>IF(B20&lt;2,"N/A",(A20/D20))</f>
        <v>0.14317296095355211</v>
      </c>
      <c r="D20" s="21">
        <f>ROUND(AVERAGE(H3:H17),2)</f>
        <v>65919.740000000005</v>
      </c>
      <c r="E20" s="22" t="str">
        <f>IFERROR(ROUND(IF(B20&lt;2,"N/A",(IF(C20&lt;=25%,"N/A",AVERAGE(I3:I17)))),2),"N/A")</f>
        <v>N/A</v>
      </c>
      <c r="F20" s="22">
        <f>ROUND(MEDIAN(H3:H17),2)</f>
        <v>65878.179999999993</v>
      </c>
      <c r="G20" s="23" t="str">
        <f>INDEX(G3:G17,MATCH(H20,H3:H17,0))</f>
        <v>07.880.897/0001-34 SUPORTE INFORMATICA SOLUCOES LTDA</v>
      </c>
      <c r="H20" s="24">
        <f>MIN(H3:H17)</f>
        <v>53323.03</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65919.740000000005</v>
      </c>
    </row>
    <row r="23" spans="1:11">
      <c r="B23" s="25"/>
      <c r="C23" s="25"/>
      <c r="D23" s="48"/>
      <c r="E23" s="48"/>
      <c r="F23" s="33"/>
      <c r="G23" s="4" t="s">
        <v>22</v>
      </c>
      <c r="H23" s="24">
        <f>ROUND(H22,2)*D3</f>
        <v>527357.92000000004</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60</v>
      </c>
      <c r="B2" s="2" t="s">
        <v>2</v>
      </c>
      <c r="C2" s="2" t="s">
        <v>3</v>
      </c>
      <c r="D2" s="2" t="s">
        <v>4</v>
      </c>
      <c r="E2" s="3" t="s">
        <v>5</v>
      </c>
      <c r="F2" s="3" t="s">
        <v>6</v>
      </c>
      <c r="G2" s="2" t="s">
        <v>7</v>
      </c>
      <c r="H2" s="4" t="s">
        <v>8</v>
      </c>
      <c r="I2" s="5" t="s">
        <v>9</v>
      </c>
    </row>
    <row r="3" spans="1:9" ht="12.75" customHeight="1">
      <c r="A3" s="50"/>
      <c r="B3" s="51" t="s">
        <v>61</v>
      </c>
      <c r="C3" s="52" t="s">
        <v>62</v>
      </c>
      <c r="D3" s="53">
        <v>50</v>
      </c>
      <c r="E3" s="54">
        <f>IF(C20&lt;=25%,D20,MIN(E20:F20))</f>
        <v>78.400000000000006</v>
      </c>
      <c r="F3" s="54">
        <f>MIN(H3:H17)</f>
        <v>70</v>
      </c>
      <c r="G3" s="6" t="s">
        <v>63</v>
      </c>
      <c r="H3" s="7">
        <v>70</v>
      </c>
      <c r="I3" s="8" t="str">
        <f t="shared" ref="I3:I17" si="0">IF(H3="","",(IF($C$20&lt;25%,"N/A",IF(H3&lt;=($D$20+$A$20),H3,"Descartado"))))</f>
        <v>N/A</v>
      </c>
    </row>
    <row r="4" spans="1:9">
      <c r="A4" s="50"/>
      <c r="B4" s="51"/>
      <c r="C4" s="52"/>
      <c r="D4" s="53"/>
      <c r="E4" s="54"/>
      <c r="F4" s="54"/>
      <c r="G4" s="6" t="s">
        <v>64</v>
      </c>
      <c r="H4" s="7">
        <v>74.94</v>
      </c>
      <c r="I4" s="8" t="str">
        <f t="shared" si="0"/>
        <v>N/A</v>
      </c>
    </row>
    <row r="5" spans="1:9">
      <c r="A5" s="50"/>
      <c r="B5" s="51"/>
      <c r="C5" s="52"/>
      <c r="D5" s="53"/>
      <c r="E5" s="54"/>
      <c r="F5" s="54"/>
      <c r="G5" s="6" t="s">
        <v>65</v>
      </c>
      <c r="H5" s="7">
        <v>77.489999999999995</v>
      </c>
      <c r="I5" s="8" t="str">
        <f t="shared" si="0"/>
        <v>N/A</v>
      </c>
    </row>
    <row r="6" spans="1:9">
      <c r="A6" s="50"/>
      <c r="B6" s="51"/>
      <c r="C6" s="52"/>
      <c r="D6" s="53"/>
      <c r="E6" s="54"/>
      <c r="F6" s="54"/>
      <c r="G6" s="6" t="s">
        <v>66</v>
      </c>
      <c r="H6" s="7">
        <v>91.15</v>
      </c>
      <c r="I6" s="8" t="str">
        <f t="shared" si="0"/>
        <v>N/A</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9.0539512552991681</v>
      </c>
      <c r="B20" s="19">
        <f>COUNT(H3:H17)</f>
        <v>4</v>
      </c>
      <c r="C20" s="20">
        <f>IF(B20&lt;2,"N/A",(A20/D20))</f>
        <v>0.11548407213391795</v>
      </c>
      <c r="D20" s="21">
        <f>ROUND(AVERAGE(H3:H17),2)</f>
        <v>78.400000000000006</v>
      </c>
      <c r="E20" s="22" t="str">
        <f>IFERROR(ROUND(IF(B20&lt;2,"N/A",(IF(C20&lt;=25%,"N/A",AVERAGE(I3:I17)))),2),"N/A")</f>
        <v>N/A</v>
      </c>
      <c r="F20" s="22">
        <f>ROUND(MEDIAN(H3:H17),2)</f>
        <v>76.22</v>
      </c>
      <c r="G20" s="23" t="str">
        <f>INDEX(G3:G17,MATCH(H20,H3:H17,0))</f>
        <v>GLOBO VISION COMERCIO E SERVICO LTDA</v>
      </c>
      <c r="H20" s="24">
        <f>MIN(H3:H17)</f>
        <v>70</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78.400000000000006</v>
      </c>
    </row>
    <row r="23" spans="1:11">
      <c r="B23" s="25"/>
      <c r="C23" s="25"/>
      <c r="D23" s="48"/>
      <c r="E23" s="48"/>
      <c r="F23" s="33"/>
      <c r="G23" s="4" t="s">
        <v>22</v>
      </c>
      <c r="H23" s="24">
        <f>ROUND(H22,2)*D3</f>
        <v>3920.0000000000005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67</v>
      </c>
      <c r="B2" s="2" t="s">
        <v>2</v>
      </c>
      <c r="C2" s="2" t="s">
        <v>3</v>
      </c>
      <c r="D2" s="2" t="s">
        <v>4</v>
      </c>
      <c r="E2" s="3" t="s">
        <v>5</v>
      </c>
      <c r="F2" s="3" t="s">
        <v>6</v>
      </c>
      <c r="G2" s="2" t="s">
        <v>7</v>
      </c>
      <c r="H2" s="4" t="s">
        <v>8</v>
      </c>
      <c r="I2" s="5" t="s">
        <v>9</v>
      </c>
    </row>
    <row r="3" spans="1:9" ht="12.75" customHeight="1">
      <c r="A3" s="50"/>
      <c r="B3" s="51" t="s">
        <v>68</v>
      </c>
      <c r="C3" s="52" t="s">
        <v>62</v>
      </c>
      <c r="D3" s="53">
        <f>30000*0.25</f>
        <v>7500</v>
      </c>
      <c r="E3" s="54">
        <f>IF(C20&lt;=25%,D20,MIN(E20:F20))</f>
        <v>3.48</v>
      </c>
      <c r="F3" s="54">
        <f>MIN(H3:H17)</f>
        <v>3.48</v>
      </c>
      <c r="G3" s="6" t="s">
        <v>69</v>
      </c>
      <c r="H3" s="7">
        <v>3.48</v>
      </c>
      <c r="I3" s="8" t="e">
        <f t="shared" ref="I3:I17" si="0">IF(H3="","",(IF($C$20&lt;25%,"N/A",IF(H3&lt;=($D$20+$A$20),H3,"Descartado"))))</f>
        <v>#VALUE!</v>
      </c>
    </row>
    <row r="4" spans="1:9">
      <c r="A4" s="50"/>
      <c r="B4" s="51"/>
      <c r="C4" s="52"/>
      <c r="D4" s="53"/>
      <c r="E4" s="54"/>
      <c r="F4" s="54"/>
      <c r="G4" s="6"/>
      <c r="H4" s="7"/>
      <c r="I4" s="8" t="str">
        <f t="shared" si="0"/>
        <v/>
      </c>
    </row>
    <row r="5" spans="1:9">
      <c r="A5" s="50"/>
      <c r="B5" s="51"/>
      <c r="C5" s="52"/>
      <c r="D5" s="53"/>
      <c r="E5" s="54"/>
      <c r="F5" s="54"/>
      <c r="G5" s="6"/>
      <c r="H5" s="7"/>
      <c r="I5" s="8" t="str">
        <f t="shared" si="0"/>
        <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t="str">
        <f>IF(B20&lt;2,"N/A",(STDEV(H3:H17)))</f>
        <v>N/A</v>
      </c>
      <c r="B20" s="19">
        <f>COUNT(H3:H17)</f>
        <v>1</v>
      </c>
      <c r="C20" s="20" t="str">
        <f>IF(B20&lt;2,"N/A",(A20/D20))</f>
        <v>N/A</v>
      </c>
      <c r="D20" s="21">
        <f>ROUND(AVERAGE(H3:H17),2)</f>
        <v>3.48</v>
      </c>
      <c r="E20" s="22" t="str">
        <f>IFERROR(ROUND(IF(B20&lt;2,"N/A",(IF(C20&lt;=25%,"N/A",AVERAGE(I3:I17)))),2),"N/A")</f>
        <v>N/A</v>
      </c>
      <c r="F20" s="22">
        <f>ROUND(MEDIAN(H3:H17),2)</f>
        <v>3.48</v>
      </c>
      <c r="G20" s="23" t="str">
        <f>INDEX(G3:G17,MATCH(H20,H3:H17,0))</f>
        <v>MÁXIMO INDÚSTRIA E COMÉRCIO EIRELI</v>
      </c>
      <c r="H20" s="24">
        <f>MIN(H3:H17)</f>
        <v>3.48</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3.48</v>
      </c>
    </row>
    <row r="23" spans="1:11">
      <c r="B23" s="25"/>
      <c r="C23" s="25"/>
      <c r="D23" s="48"/>
      <c r="E23" s="48"/>
      <c r="F23" s="33"/>
      <c r="G23" s="4" t="s">
        <v>22</v>
      </c>
      <c r="H23" s="24">
        <f>ROUND(H22,2)*D3</f>
        <v>26100</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70</v>
      </c>
      <c r="B2" s="2" t="s">
        <v>2</v>
      </c>
      <c r="C2" s="2" t="s">
        <v>3</v>
      </c>
      <c r="D2" s="2" t="s">
        <v>4</v>
      </c>
      <c r="E2" s="3" t="s">
        <v>5</v>
      </c>
      <c r="F2" s="3" t="s">
        <v>6</v>
      </c>
      <c r="G2" s="2" t="s">
        <v>7</v>
      </c>
      <c r="H2" s="4" t="s">
        <v>8</v>
      </c>
      <c r="I2" s="5" t="s">
        <v>9</v>
      </c>
    </row>
    <row r="3" spans="1:9" ht="12.75" customHeight="1">
      <c r="A3" s="50"/>
      <c r="B3" s="51" t="s">
        <v>71</v>
      </c>
      <c r="C3" s="52" t="s">
        <v>62</v>
      </c>
      <c r="D3" s="53">
        <v>300</v>
      </c>
      <c r="E3" s="54">
        <f>IF(C20&lt;=25%,D20,MIN(E20:F20))</f>
        <v>79.2</v>
      </c>
      <c r="F3" s="54">
        <f>MIN(H3:H17)</f>
        <v>69</v>
      </c>
      <c r="G3" s="6" t="s">
        <v>72</v>
      </c>
      <c r="H3" s="7">
        <v>69</v>
      </c>
      <c r="I3" s="8" t="str">
        <f t="shared" ref="I3:I17" si="0">IF(H3="","",(IF($C$20&lt;25%,"N/A",IF(H3&lt;=($D$20+$A$20),H3,"Descartado"))))</f>
        <v>N/A</v>
      </c>
    </row>
    <row r="4" spans="1:9">
      <c r="A4" s="50"/>
      <c r="B4" s="51"/>
      <c r="C4" s="52"/>
      <c r="D4" s="53"/>
      <c r="E4" s="54"/>
      <c r="F4" s="54"/>
      <c r="G4" s="6" t="s">
        <v>73</v>
      </c>
      <c r="H4" s="7">
        <v>70</v>
      </c>
      <c r="I4" s="8" t="str">
        <f t="shared" si="0"/>
        <v>N/A</v>
      </c>
    </row>
    <row r="5" spans="1:9">
      <c r="A5" s="50"/>
      <c r="B5" s="51"/>
      <c r="C5" s="52"/>
      <c r="D5" s="53"/>
      <c r="E5" s="54"/>
      <c r="F5" s="54"/>
      <c r="G5" s="6" t="s">
        <v>74</v>
      </c>
      <c r="H5" s="7">
        <v>99.9</v>
      </c>
      <c r="I5" s="8" t="str">
        <f t="shared" si="0"/>
        <v>N/A</v>
      </c>
    </row>
    <row r="6" spans="1:9">
      <c r="A6" s="50"/>
      <c r="B6" s="51"/>
      <c r="C6" s="52"/>
      <c r="D6" s="53"/>
      <c r="E6" s="54"/>
      <c r="F6" s="54"/>
      <c r="G6" s="6" t="s">
        <v>75</v>
      </c>
      <c r="H6" s="7">
        <v>77.900000000000006</v>
      </c>
      <c r="I6" s="8" t="str">
        <f t="shared" si="0"/>
        <v>N/A</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14.362683129090708</v>
      </c>
      <c r="B20" s="19">
        <f>COUNT(H3:H17)</f>
        <v>4</v>
      </c>
      <c r="C20" s="20">
        <f>IF(B20&lt;2,"N/A",(A20/D20))</f>
        <v>0.18134700920569075</v>
      </c>
      <c r="D20" s="21">
        <f>ROUND(AVERAGE(H3:H17),2)</f>
        <v>79.2</v>
      </c>
      <c r="E20" s="22" t="str">
        <f>IFERROR(ROUND(IF(B20&lt;2,"N/A",(IF(C20&lt;=25%,"N/A",AVERAGE(I3:I17)))),2),"N/A")</f>
        <v>N/A</v>
      </c>
      <c r="F20" s="22">
        <f>ROUND(MEDIAN(H3:H17),2)</f>
        <v>73.95</v>
      </c>
      <c r="G20" s="23" t="str">
        <f>INDEX(G3:G17,MATCH(H20,H3:H17,0))</f>
        <v>MAEPE MATERIAIS PARA EMPRESAS LTDA</v>
      </c>
      <c r="H20" s="24">
        <f>MIN(H3:H17)</f>
        <v>69</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79.2</v>
      </c>
    </row>
    <row r="23" spans="1:11">
      <c r="B23" s="25"/>
      <c r="C23" s="25"/>
      <c r="D23" s="48"/>
      <c r="E23" s="48"/>
      <c r="F23" s="33"/>
      <c r="G23" s="4" t="s">
        <v>22</v>
      </c>
      <c r="H23" s="24">
        <f>ROUND(H22,2)*D3</f>
        <v>23760</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8" sqref="G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76</v>
      </c>
      <c r="B2" s="2" t="s">
        <v>2</v>
      </c>
      <c r="C2" s="2" t="s">
        <v>3</v>
      </c>
      <c r="D2" s="2" t="s">
        <v>4</v>
      </c>
      <c r="E2" s="3" t="s">
        <v>5</v>
      </c>
      <c r="F2" s="3" t="s">
        <v>6</v>
      </c>
      <c r="G2" s="2" t="s">
        <v>7</v>
      </c>
      <c r="H2" s="4" t="s">
        <v>8</v>
      </c>
      <c r="I2" s="5" t="s">
        <v>9</v>
      </c>
    </row>
    <row r="3" spans="1:9" ht="12.75" customHeight="1">
      <c r="A3" s="50"/>
      <c r="B3" s="51" t="s">
        <v>77</v>
      </c>
      <c r="C3" s="52" t="s">
        <v>62</v>
      </c>
      <c r="D3" s="53">
        <v>200</v>
      </c>
      <c r="E3" s="54">
        <f>IF(C20&lt;=25%,D20,MIN(E20:F20))</f>
        <v>20.9</v>
      </c>
      <c r="F3" s="54">
        <f>MIN(H3:H17)</f>
        <v>12.49</v>
      </c>
      <c r="G3" s="6" t="s">
        <v>78</v>
      </c>
      <c r="H3" s="7">
        <v>12.49</v>
      </c>
      <c r="I3" s="8">
        <f t="shared" ref="I3:I17" si="0">IF(H3="","",(IF($C$20&lt;25%,"N/A",IF(H3&lt;=($D$20+$A$20),H3,"Descartado"))))</f>
        <v>12.49</v>
      </c>
    </row>
    <row r="4" spans="1:9">
      <c r="A4" s="50"/>
      <c r="B4" s="51"/>
      <c r="C4" s="52"/>
      <c r="D4" s="53"/>
      <c r="E4" s="54"/>
      <c r="F4" s="54"/>
      <c r="G4" s="6" t="s">
        <v>59</v>
      </c>
      <c r="H4" s="7">
        <v>18</v>
      </c>
      <c r="I4" s="8">
        <f t="shared" si="0"/>
        <v>18</v>
      </c>
    </row>
    <row r="5" spans="1:9">
      <c r="A5" s="50"/>
      <c r="B5" s="51"/>
      <c r="C5" s="52"/>
      <c r="D5" s="53"/>
      <c r="E5" s="54"/>
      <c r="F5" s="54"/>
      <c r="G5" s="6" t="s">
        <v>79</v>
      </c>
      <c r="H5" s="7">
        <v>20.9</v>
      </c>
      <c r="I5" s="8">
        <f t="shared" si="0"/>
        <v>20.9</v>
      </c>
    </row>
    <row r="6" spans="1:9">
      <c r="A6" s="50"/>
      <c r="B6" s="51"/>
      <c r="C6" s="52"/>
      <c r="D6" s="53"/>
      <c r="E6" s="54"/>
      <c r="F6" s="54"/>
      <c r="G6" s="6" t="s">
        <v>80</v>
      </c>
      <c r="H6" s="7">
        <v>51.52</v>
      </c>
      <c r="I6" s="8" t="str">
        <f t="shared" si="0"/>
        <v>Descartado</v>
      </c>
    </row>
    <row r="7" spans="1:9">
      <c r="A7" s="50"/>
      <c r="B7" s="51"/>
      <c r="C7" s="52"/>
      <c r="D7" s="53"/>
      <c r="E7" s="54"/>
      <c r="F7" s="54"/>
      <c r="G7" s="6" t="s">
        <v>81</v>
      </c>
      <c r="H7" s="7">
        <v>34.1</v>
      </c>
      <c r="I7" s="8">
        <f t="shared" si="0"/>
        <v>34.1</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15.649141190493493</v>
      </c>
      <c r="B20" s="19">
        <f>COUNT(H3:H17)</f>
        <v>5</v>
      </c>
      <c r="C20" s="20">
        <f>IF(B20&lt;2,"N/A",(A20/D20))</f>
        <v>0.57113653979903267</v>
      </c>
      <c r="D20" s="21">
        <f>ROUND(AVERAGE(H3:H17),2)</f>
        <v>27.4</v>
      </c>
      <c r="E20" s="22">
        <f>IFERROR(ROUND(IF(B20&lt;2,"N/A",(IF(C20&lt;=25%,"N/A",AVERAGE(I3:I17)))),2),"N/A")</f>
        <v>21.37</v>
      </c>
      <c r="F20" s="22">
        <f>ROUND(MEDIAN(H3:H17),2)</f>
        <v>20.9</v>
      </c>
      <c r="G20" s="23" t="str">
        <f>INDEX(G3:G17,MATCH(H20,H3:H17,0))</f>
        <v>SOBRAL-CHAVES E CARIMBOS LTDA</v>
      </c>
      <c r="H20" s="24">
        <f>MIN(H3:H17)</f>
        <v>12.49</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20.9</v>
      </c>
    </row>
    <row r="23" spans="1:11">
      <c r="B23" s="25"/>
      <c r="C23" s="25"/>
      <c r="D23" s="48"/>
      <c r="E23" s="48"/>
      <c r="F23" s="33"/>
      <c r="G23" s="4" t="s">
        <v>22</v>
      </c>
      <c r="H23" s="24">
        <f>ROUND(H22,2)*D3</f>
        <v>4180</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3" sqref="G13"/>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82</v>
      </c>
      <c r="B2" s="2" t="s">
        <v>2</v>
      </c>
      <c r="C2" s="2" t="s">
        <v>3</v>
      </c>
      <c r="D2" s="2" t="s">
        <v>4</v>
      </c>
      <c r="E2" s="3" t="s">
        <v>5</v>
      </c>
      <c r="F2" s="3" t="s">
        <v>6</v>
      </c>
      <c r="G2" s="2" t="s">
        <v>7</v>
      </c>
      <c r="H2" s="4" t="s">
        <v>8</v>
      </c>
      <c r="I2" s="5" t="s">
        <v>9</v>
      </c>
    </row>
    <row r="3" spans="1:9" ht="12.75" customHeight="1">
      <c r="A3" s="50"/>
      <c r="B3" s="51" t="s">
        <v>83</v>
      </c>
      <c r="C3" s="52" t="s">
        <v>62</v>
      </c>
      <c r="D3" s="53">
        <v>200</v>
      </c>
      <c r="E3" s="54">
        <f>IF(C20&lt;=25%,D20,MIN(E20:F20))</f>
        <v>17.68</v>
      </c>
      <c r="F3" s="54">
        <f>MIN(H3:H17)</f>
        <v>10</v>
      </c>
      <c r="G3" s="6" t="s">
        <v>84</v>
      </c>
      <c r="H3" s="7">
        <v>10</v>
      </c>
      <c r="I3" s="8">
        <f t="shared" ref="I3:I17" si="0">IF(H3="","",(IF($C$20&lt;25%,"N/A",IF(H3&lt;=($D$20+$A$20),H3,"Descartado"))))</f>
        <v>10</v>
      </c>
    </row>
    <row r="4" spans="1:9">
      <c r="A4" s="50"/>
      <c r="B4" s="51"/>
      <c r="C4" s="52"/>
      <c r="D4" s="53"/>
      <c r="E4" s="54"/>
      <c r="F4" s="54"/>
      <c r="G4" s="6" t="s">
        <v>85</v>
      </c>
      <c r="H4" s="7">
        <v>11.5</v>
      </c>
      <c r="I4" s="8">
        <f t="shared" si="0"/>
        <v>11.5</v>
      </c>
    </row>
    <row r="5" spans="1:9">
      <c r="A5" s="50"/>
      <c r="B5" s="51"/>
      <c r="C5" s="52"/>
      <c r="D5" s="53"/>
      <c r="E5" s="54"/>
      <c r="F5" s="54"/>
      <c r="G5" s="6" t="s">
        <v>86</v>
      </c>
      <c r="H5" s="7">
        <v>12.9</v>
      </c>
      <c r="I5" s="8">
        <f t="shared" si="0"/>
        <v>12.9</v>
      </c>
    </row>
    <row r="6" spans="1:9">
      <c r="A6" s="50"/>
      <c r="B6" s="51"/>
      <c r="C6" s="52"/>
      <c r="D6" s="53"/>
      <c r="E6" s="54"/>
      <c r="F6" s="54"/>
      <c r="G6" s="6" t="s">
        <v>87</v>
      </c>
      <c r="H6" s="7">
        <v>15.73</v>
      </c>
      <c r="I6" s="8">
        <f t="shared" si="0"/>
        <v>15.73</v>
      </c>
    </row>
    <row r="7" spans="1:9">
      <c r="A7" s="50"/>
      <c r="B7" s="51"/>
      <c r="C7" s="52"/>
      <c r="D7" s="53"/>
      <c r="E7" s="54"/>
      <c r="F7" s="54"/>
      <c r="G7" s="6" t="s">
        <v>78</v>
      </c>
      <c r="H7" s="7">
        <v>21</v>
      </c>
      <c r="I7" s="8">
        <f t="shared" si="0"/>
        <v>21</v>
      </c>
    </row>
    <row r="8" spans="1:9">
      <c r="A8" s="50"/>
      <c r="B8" s="51"/>
      <c r="C8" s="52"/>
      <c r="D8" s="53"/>
      <c r="E8" s="54"/>
      <c r="F8" s="54"/>
      <c r="G8" s="6" t="s">
        <v>88</v>
      </c>
      <c r="H8" s="7">
        <v>21.11</v>
      </c>
      <c r="I8" s="8">
        <f t="shared" si="0"/>
        <v>21.11</v>
      </c>
    </row>
    <row r="9" spans="1:9">
      <c r="A9" s="50"/>
      <c r="B9" s="51"/>
      <c r="C9" s="52"/>
      <c r="D9" s="53"/>
      <c r="E9" s="54"/>
      <c r="F9" s="54"/>
      <c r="G9" s="6" t="s">
        <v>89</v>
      </c>
      <c r="H9" s="7">
        <v>23.16</v>
      </c>
      <c r="I9" s="8">
        <f t="shared" si="0"/>
        <v>23.16</v>
      </c>
    </row>
    <row r="10" spans="1:9">
      <c r="A10" s="50"/>
      <c r="B10" s="51"/>
      <c r="C10" s="52"/>
      <c r="D10" s="53"/>
      <c r="E10" s="54"/>
      <c r="F10" s="54"/>
      <c r="G10" s="6" t="s">
        <v>90</v>
      </c>
      <c r="H10" s="7">
        <v>26</v>
      </c>
      <c r="I10" s="8">
        <f t="shared" si="0"/>
        <v>26</v>
      </c>
    </row>
    <row r="11" spans="1:9">
      <c r="A11" s="50"/>
      <c r="B11" s="51"/>
      <c r="C11" s="52"/>
      <c r="D11" s="53"/>
      <c r="E11" s="54"/>
      <c r="F11" s="54"/>
      <c r="G11" s="6" t="s">
        <v>91</v>
      </c>
      <c r="H11" s="7">
        <v>53.4</v>
      </c>
      <c r="I11" s="8" t="str">
        <f t="shared" si="0"/>
        <v>Descartado</v>
      </c>
    </row>
    <row r="12" spans="1:9">
      <c r="A12" s="50"/>
      <c r="B12" s="51"/>
      <c r="C12" s="52"/>
      <c r="D12" s="53"/>
      <c r="E12" s="54"/>
      <c r="F12" s="54"/>
      <c r="G12" s="6" t="s">
        <v>92</v>
      </c>
      <c r="H12" s="7">
        <v>64</v>
      </c>
      <c r="I12" s="8" t="str">
        <f t="shared" si="0"/>
        <v>Descartado</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18.241974186535362</v>
      </c>
      <c r="B20" s="19">
        <f>COUNT(H3:H17)</f>
        <v>10</v>
      </c>
      <c r="C20" s="20">
        <f>IF(B20&lt;2,"N/A",(A20/D20))</f>
        <v>0.70486762699132</v>
      </c>
      <c r="D20" s="21">
        <f>ROUND(AVERAGE(H3:H17),2)</f>
        <v>25.88</v>
      </c>
      <c r="E20" s="22">
        <f>IFERROR(ROUND(IF(B20&lt;2,"N/A",(IF(C20&lt;=25%,"N/A",AVERAGE(I3:I17)))),2),"N/A")</f>
        <v>17.68</v>
      </c>
      <c r="F20" s="22">
        <f>ROUND(MEDIAN(H3:H17),2)</f>
        <v>21.06</v>
      </c>
      <c r="G20" s="23" t="str">
        <f>INDEX(G3:G17,MATCH(H20,H3:H17,0))</f>
        <v>M G ALVARENGA LTDA</v>
      </c>
      <c r="H20" s="24">
        <f>MIN(H3:H17)</f>
        <v>10</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17.68</v>
      </c>
    </row>
    <row r="23" spans="1:11">
      <c r="B23" s="25"/>
      <c r="C23" s="25"/>
      <c r="D23" s="48"/>
      <c r="E23" s="48"/>
      <c r="F23" s="33"/>
      <c r="G23" s="4" t="s">
        <v>22</v>
      </c>
      <c r="H23" s="24">
        <f>ROUND(H22,2)*D3</f>
        <v>3536</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93</v>
      </c>
      <c r="B2" s="2" t="s">
        <v>2</v>
      </c>
      <c r="C2" s="2" t="s">
        <v>3</v>
      </c>
      <c r="D2" s="2" t="s">
        <v>4</v>
      </c>
      <c r="E2" s="3" t="s">
        <v>5</v>
      </c>
      <c r="F2" s="3" t="s">
        <v>6</v>
      </c>
      <c r="G2" s="2" t="s">
        <v>7</v>
      </c>
      <c r="H2" s="4" t="s">
        <v>8</v>
      </c>
      <c r="I2" s="5" t="s">
        <v>9</v>
      </c>
    </row>
    <row r="3" spans="1:9" ht="12.75" customHeight="1">
      <c r="A3" s="50"/>
      <c r="B3" s="51" t="s">
        <v>94</v>
      </c>
      <c r="C3" s="52" t="s">
        <v>62</v>
      </c>
      <c r="D3" s="53">
        <v>600</v>
      </c>
      <c r="E3" s="54">
        <f>IF(C20&lt;=25%,D20,MIN(E20:F20))</f>
        <v>59.99</v>
      </c>
      <c r="F3" s="54">
        <f>MIN(H3:H17)</f>
        <v>50.6</v>
      </c>
      <c r="G3" s="6" t="s">
        <v>95</v>
      </c>
      <c r="H3" s="7">
        <v>50.6</v>
      </c>
      <c r="I3" s="8" t="str">
        <f t="shared" ref="I3:I17" si="0">IF(H3="","",(IF($C$20&lt;25%,"N/A",IF(H3&lt;=($D$20+$A$20),H3,"Descartado"))))</f>
        <v>N/A</v>
      </c>
    </row>
    <row r="4" spans="1:9">
      <c r="A4" s="50"/>
      <c r="B4" s="51"/>
      <c r="C4" s="52"/>
      <c r="D4" s="53"/>
      <c r="E4" s="54"/>
      <c r="F4" s="54"/>
      <c r="G4" s="6" t="s">
        <v>96</v>
      </c>
      <c r="H4" s="7">
        <v>60</v>
      </c>
      <c r="I4" s="8" t="str">
        <f t="shared" si="0"/>
        <v>N/A</v>
      </c>
    </row>
    <row r="5" spans="1:9">
      <c r="A5" s="50"/>
      <c r="B5" s="51"/>
      <c r="C5" s="52"/>
      <c r="D5" s="53"/>
      <c r="E5" s="54"/>
      <c r="F5" s="54"/>
      <c r="G5" s="6" t="s">
        <v>97</v>
      </c>
      <c r="H5" s="7">
        <v>60.35</v>
      </c>
      <c r="I5" s="8" t="str">
        <f t="shared" si="0"/>
        <v>N/A</v>
      </c>
    </row>
    <row r="6" spans="1:9">
      <c r="A6" s="50"/>
      <c r="B6" s="51"/>
      <c r="C6" s="52"/>
      <c r="D6" s="53"/>
      <c r="E6" s="54"/>
      <c r="F6" s="54"/>
      <c r="G6" s="6" t="s">
        <v>98</v>
      </c>
      <c r="H6" s="7">
        <v>69</v>
      </c>
      <c r="I6" s="8" t="str">
        <f t="shared" si="0"/>
        <v>N/A</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7.5162462927537019</v>
      </c>
      <c r="B20" s="19">
        <f>COUNT(H3:H17)</f>
        <v>4</v>
      </c>
      <c r="C20" s="20">
        <f>IF(B20&lt;2,"N/A",(A20/D20))</f>
        <v>0.12529165348814306</v>
      </c>
      <c r="D20" s="21">
        <f>ROUND(AVERAGE(H3:H17),2)</f>
        <v>59.99</v>
      </c>
      <c r="E20" s="22" t="str">
        <f>IFERROR(ROUND(IF(B20&lt;2,"N/A",(IF(C20&lt;=25%,"N/A",AVERAGE(I3:I17)))),2),"N/A")</f>
        <v>N/A</v>
      </c>
      <c r="F20" s="22">
        <f>ROUND(MEDIAN(H3:H17),2)</f>
        <v>60.18</v>
      </c>
      <c r="G20" s="23" t="str">
        <f>INDEX(G3:G17,MATCH(H20,H3:H17,0))</f>
        <v>GLOBAL VISION PACK BRASIL LTDA</v>
      </c>
      <c r="H20" s="24">
        <f>MIN(H3:H17)</f>
        <v>50.6</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59.99</v>
      </c>
    </row>
    <row r="23" spans="1:11">
      <c r="B23" s="25"/>
      <c r="C23" s="25"/>
      <c r="D23" s="48"/>
      <c r="E23" s="48"/>
      <c r="F23" s="33"/>
      <c r="G23" s="4" t="s">
        <v>22</v>
      </c>
      <c r="H23" s="24">
        <f>ROUND(H22,2)*D3</f>
        <v>35994</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99</v>
      </c>
      <c r="B2" s="2" t="s">
        <v>2</v>
      </c>
      <c r="C2" s="2" t="s">
        <v>3</v>
      </c>
      <c r="D2" s="2" t="s">
        <v>4</v>
      </c>
      <c r="E2" s="3" t="s">
        <v>5</v>
      </c>
      <c r="F2" s="3" t="s">
        <v>6</v>
      </c>
      <c r="G2" s="2" t="s">
        <v>7</v>
      </c>
      <c r="H2" s="4" t="s">
        <v>8</v>
      </c>
      <c r="I2" s="5" t="s">
        <v>9</v>
      </c>
    </row>
    <row r="3" spans="1:9" ht="12.75" customHeight="1">
      <c r="A3" s="50"/>
      <c r="B3" s="51" t="s">
        <v>100</v>
      </c>
      <c r="C3" s="52" t="s">
        <v>62</v>
      </c>
      <c r="D3" s="53">
        <f>400*0.25</f>
        <v>100</v>
      </c>
      <c r="E3" s="54">
        <f>IF(C20&lt;=25%,D20,MIN(E20:F20))</f>
        <v>212.58</v>
      </c>
      <c r="F3" s="54">
        <f>MIN(H3:H17)</f>
        <v>212.58</v>
      </c>
      <c r="G3" s="6" t="s">
        <v>101</v>
      </c>
      <c r="H3" s="7">
        <v>212.58</v>
      </c>
      <c r="I3" s="8" t="e">
        <f t="shared" ref="I3:I17" si="0">IF(H3="","",(IF($C$20&lt;25%,"N/A",IF(H3&lt;=($D$20+$A$20),H3,"Descartado"))))</f>
        <v>#VALUE!</v>
      </c>
    </row>
    <row r="4" spans="1:9">
      <c r="A4" s="50"/>
      <c r="B4" s="51"/>
      <c r="C4" s="52"/>
      <c r="D4" s="53"/>
      <c r="E4" s="54"/>
      <c r="F4" s="54"/>
      <c r="G4" s="6"/>
      <c r="H4" s="7"/>
      <c r="I4" s="8" t="str">
        <f t="shared" si="0"/>
        <v/>
      </c>
    </row>
    <row r="5" spans="1:9">
      <c r="A5" s="50"/>
      <c r="B5" s="51"/>
      <c r="C5" s="52"/>
      <c r="D5" s="53"/>
      <c r="E5" s="54"/>
      <c r="F5" s="54"/>
      <c r="G5" s="6"/>
      <c r="H5" s="7"/>
      <c r="I5" s="8" t="str">
        <f t="shared" si="0"/>
        <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t="str">
        <f>IF(B20&lt;2,"N/A",(STDEV(H3:H17)))</f>
        <v>N/A</v>
      </c>
      <c r="B20" s="19">
        <f>COUNT(H3:H17)</f>
        <v>1</v>
      </c>
      <c r="C20" s="20" t="str">
        <f>IF(B20&lt;2,"N/A",(A20/D20))</f>
        <v>N/A</v>
      </c>
      <c r="D20" s="21">
        <f>ROUND(AVERAGE(H3:H17),2)</f>
        <v>212.58</v>
      </c>
      <c r="E20" s="22" t="str">
        <f>IFERROR(ROUND(IF(B20&lt;2,"N/A",(IF(C20&lt;=25%,"N/A",AVERAGE(I3:I17)))),2),"N/A")</f>
        <v>N/A</v>
      </c>
      <c r="F20" s="22">
        <f>ROUND(MEDIAN(H3:H17),2)</f>
        <v>212.58</v>
      </c>
      <c r="G20" s="23" t="str">
        <f>INDEX(G3:G17,MATCH(H20,H3:H17,0))</f>
        <v>FABRICIO RACHADEL COSTA</v>
      </c>
      <c r="H20" s="24">
        <f>MIN(H3:H17)</f>
        <v>212.58</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212.58</v>
      </c>
    </row>
    <row r="23" spans="1:11">
      <c r="B23" s="25"/>
      <c r="C23" s="25"/>
      <c r="D23" s="48"/>
      <c r="E23" s="48"/>
      <c r="F23" s="33"/>
      <c r="G23" s="4" t="s">
        <v>22</v>
      </c>
      <c r="H23" s="24">
        <f>ROUND(H22,2)*D3</f>
        <v>21258</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102</v>
      </c>
      <c r="B2" s="2" t="s">
        <v>2</v>
      </c>
      <c r="C2" s="2" t="s">
        <v>3</v>
      </c>
      <c r="D2" s="2" t="s">
        <v>4</v>
      </c>
      <c r="E2" s="3" t="s">
        <v>5</v>
      </c>
      <c r="F2" s="3" t="s">
        <v>6</v>
      </c>
      <c r="G2" s="2" t="s">
        <v>7</v>
      </c>
      <c r="H2" s="4" t="s">
        <v>8</v>
      </c>
      <c r="I2" s="5" t="s">
        <v>9</v>
      </c>
    </row>
    <row r="3" spans="1:9" ht="12.75" customHeight="1">
      <c r="A3" s="50"/>
      <c r="B3" s="51" t="s">
        <v>103</v>
      </c>
      <c r="C3" s="52" t="s">
        <v>62</v>
      </c>
      <c r="D3" s="53">
        <v>250</v>
      </c>
      <c r="E3" s="54">
        <f>IF(C20&lt;=25%,D20,MIN(E20:F20))</f>
        <v>39.159999999999997</v>
      </c>
      <c r="F3" s="54">
        <f>MIN(H3:H17)</f>
        <v>28</v>
      </c>
      <c r="G3" s="6" t="s">
        <v>104</v>
      </c>
      <c r="H3" s="7">
        <v>28</v>
      </c>
      <c r="I3" s="8">
        <f t="shared" ref="I3:I17" si="0">IF(H3="","",(IF($C$20&lt;25%,"N/A",IF(H3&lt;=($D$20+$A$20),H3,"Descartado"))))</f>
        <v>28</v>
      </c>
    </row>
    <row r="4" spans="1:9">
      <c r="A4" s="50"/>
      <c r="B4" s="51"/>
      <c r="C4" s="52"/>
      <c r="D4" s="53"/>
      <c r="E4" s="54"/>
      <c r="F4" s="54"/>
      <c r="G4" s="6" t="s">
        <v>105</v>
      </c>
      <c r="H4" s="7">
        <v>40.409999999999997</v>
      </c>
      <c r="I4" s="8">
        <f t="shared" si="0"/>
        <v>40.409999999999997</v>
      </c>
    </row>
    <row r="5" spans="1:9">
      <c r="A5" s="50"/>
      <c r="B5" s="51"/>
      <c r="C5" s="52"/>
      <c r="D5" s="53"/>
      <c r="E5" s="54"/>
      <c r="F5" s="54"/>
      <c r="G5" s="6" t="s">
        <v>106</v>
      </c>
      <c r="H5" s="7">
        <v>49.08</v>
      </c>
      <c r="I5" s="8">
        <f t="shared" si="0"/>
        <v>49.08</v>
      </c>
    </row>
    <row r="6" spans="1:9">
      <c r="A6" s="50"/>
      <c r="B6" s="51"/>
      <c r="C6" s="52"/>
      <c r="D6" s="53"/>
      <c r="E6" s="54"/>
      <c r="F6" s="54"/>
      <c r="G6" s="6" t="s">
        <v>107</v>
      </c>
      <c r="H6" s="7">
        <v>70.540000000000006</v>
      </c>
      <c r="I6" s="8" t="str">
        <f t="shared" si="0"/>
        <v>Descartado</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17.915411196322957</v>
      </c>
      <c r="B20" s="19">
        <f>COUNT(H3:H17)</f>
        <v>4</v>
      </c>
      <c r="C20" s="20">
        <f>IF(B20&lt;2,"N/A",(A20/D20))</f>
        <v>0.38109787696921843</v>
      </c>
      <c r="D20" s="21">
        <f>ROUND(AVERAGE(H3:H17),2)</f>
        <v>47.01</v>
      </c>
      <c r="E20" s="22">
        <f>IFERROR(ROUND(IF(B20&lt;2,"N/A",(IF(C20&lt;=25%,"N/A",AVERAGE(I3:I17)))),2),"N/A")</f>
        <v>39.159999999999997</v>
      </c>
      <c r="F20" s="22">
        <f>ROUND(MEDIAN(H3:H17),2)</f>
        <v>44.75</v>
      </c>
      <c r="G20" s="23" t="str">
        <f>INDEX(G3:G17,MATCH(H20,H3:H17,0))</f>
        <v>N. T. LUIZE EIRELI</v>
      </c>
      <c r="H20" s="24">
        <f>MIN(H3:H17)</f>
        <v>28</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39.159999999999997</v>
      </c>
    </row>
    <row r="23" spans="1:11">
      <c r="B23" s="25"/>
      <c r="C23" s="25"/>
      <c r="D23" s="48"/>
      <c r="E23" s="48"/>
      <c r="F23" s="33"/>
      <c r="G23" s="4" t="s">
        <v>22</v>
      </c>
      <c r="H23" s="24">
        <f>ROUND(H22,2)*D3</f>
        <v>9790</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4" sqref="G14"/>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108</v>
      </c>
      <c r="B2" s="2" t="s">
        <v>2</v>
      </c>
      <c r="C2" s="2" t="s">
        <v>3</v>
      </c>
      <c r="D2" s="2" t="s">
        <v>4</v>
      </c>
      <c r="E2" s="3" t="s">
        <v>5</v>
      </c>
      <c r="F2" s="3" t="s">
        <v>6</v>
      </c>
      <c r="G2" s="2" t="s">
        <v>7</v>
      </c>
      <c r="H2" s="4" t="s">
        <v>8</v>
      </c>
      <c r="I2" s="5" t="s">
        <v>9</v>
      </c>
    </row>
    <row r="3" spans="1:9" ht="12.75" customHeight="1">
      <c r="A3" s="50"/>
      <c r="B3" s="51" t="s">
        <v>109</v>
      </c>
      <c r="C3" s="52" t="s">
        <v>62</v>
      </c>
      <c r="D3" s="53">
        <v>35000</v>
      </c>
      <c r="E3" s="54">
        <f>IF(C20&lt;=25%,D20,MIN(E20:F20))</f>
        <v>1.41</v>
      </c>
      <c r="F3" s="54">
        <f>MIN(H3:H17)</f>
        <v>0.89</v>
      </c>
      <c r="G3" s="6" t="s">
        <v>110</v>
      </c>
      <c r="H3" s="7">
        <v>0.89</v>
      </c>
      <c r="I3" s="8">
        <f t="shared" ref="I3:I17" si="0">IF(H3="","",(IF($C$20&lt;25%,"N/A",IF(H3&lt;=($D$20+$A$20),H3,"Descartado"))))</f>
        <v>0.89</v>
      </c>
    </row>
    <row r="4" spans="1:9">
      <c r="A4" s="50"/>
      <c r="B4" s="51"/>
      <c r="C4" s="52"/>
      <c r="D4" s="53"/>
      <c r="E4" s="54"/>
      <c r="F4" s="54"/>
      <c r="G4" s="6" t="s">
        <v>111</v>
      </c>
      <c r="H4" s="7">
        <v>0.92</v>
      </c>
      <c r="I4" s="8">
        <f t="shared" si="0"/>
        <v>0.92</v>
      </c>
    </row>
    <row r="5" spans="1:9">
      <c r="A5" s="50"/>
      <c r="B5" s="51"/>
      <c r="C5" s="52"/>
      <c r="D5" s="53"/>
      <c r="E5" s="54"/>
      <c r="F5" s="54"/>
      <c r="G5" s="6" t="s">
        <v>112</v>
      </c>
      <c r="H5" s="7">
        <v>1.48</v>
      </c>
      <c r="I5" s="8">
        <f t="shared" si="0"/>
        <v>1.48</v>
      </c>
    </row>
    <row r="6" spans="1:9">
      <c r="A6" s="50"/>
      <c r="B6" s="51"/>
      <c r="C6" s="52"/>
      <c r="D6" s="53"/>
      <c r="E6" s="54"/>
      <c r="F6" s="54"/>
      <c r="G6" s="6" t="s">
        <v>113</v>
      </c>
      <c r="H6" s="7">
        <v>2.25</v>
      </c>
      <c r="I6" s="8" t="str">
        <f t="shared" si="0"/>
        <v>Descartado</v>
      </c>
    </row>
    <row r="7" spans="1:9">
      <c r="A7" s="50"/>
      <c r="B7" s="51"/>
      <c r="C7" s="52"/>
      <c r="D7" s="53"/>
      <c r="E7" s="54"/>
      <c r="F7" s="54"/>
      <c r="G7" s="6" t="s">
        <v>114</v>
      </c>
      <c r="H7" s="7">
        <v>1.17</v>
      </c>
      <c r="I7" s="8">
        <f t="shared" si="0"/>
        <v>1.17</v>
      </c>
    </row>
    <row r="8" spans="1:9">
      <c r="A8" s="50"/>
      <c r="B8" s="51"/>
      <c r="C8" s="52"/>
      <c r="D8" s="53"/>
      <c r="E8" s="54"/>
      <c r="F8" s="54"/>
      <c r="G8" s="6" t="s">
        <v>115</v>
      </c>
      <c r="H8" s="7">
        <v>1.3</v>
      </c>
      <c r="I8" s="8">
        <f t="shared" si="0"/>
        <v>1.3</v>
      </c>
    </row>
    <row r="9" spans="1:9">
      <c r="A9" s="50"/>
      <c r="B9" s="51"/>
      <c r="C9" s="52"/>
      <c r="D9" s="53"/>
      <c r="E9" s="54"/>
      <c r="F9" s="54"/>
      <c r="G9" s="6" t="s">
        <v>116</v>
      </c>
      <c r="H9" s="7">
        <v>1.7</v>
      </c>
      <c r="I9" s="8">
        <f t="shared" si="0"/>
        <v>1.7</v>
      </c>
    </row>
    <row r="10" spans="1:9">
      <c r="A10" s="50"/>
      <c r="B10" s="51"/>
      <c r="C10" s="52"/>
      <c r="D10" s="53"/>
      <c r="E10" s="54"/>
      <c r="F10" s="54"/>
      <c r="G10" s="6" t="s">
        <v>117</v>
      </c>
      <c r="H10" s="7">
        <v>1.7</v>
      </c>
      <c r="I10" s="8">
        <f t="shared" si="0"/>
        <v>1.7</v>
      </c>
    </row>
    <row r="11" spans="1:9">
      <c r="A11" s="50"/>
      <c r="B11" s="51"/>
      <c r="C11" s="52"/>
      <c r="D11" s="53"/>
      <c r="E11" s="54"/>
      <c r="F11" s="54"/>
      <c r="G11" s="6" t="s">
        <v>118</v>
      </c>
      <c r="H11" s="7">
        <v>1.49</v>
      </c>
      <c r="I11" s="8">
        <f t="shared" si="0"/>
        <v>1.49</v>
      </c>
    </row>
    <row r="12" spans="1:9">
      <c r="A12" s="50"/>
      <c r="B12" s="51"/>
      <c r="C12" s="52"/>
      <c r="D12" s="53"/>
      <c r="E12" s="54"/>
      <c r="F12" s="54"/>
      <c r="G12" s="6" t="s">
        <v>119</v>
      </c>
      <c r="H12" s="7">
        <v>2.9</v>
      </c>
      <c r="I12" s="8" t="str">
        <f t="shared" si="0"/>
        <v>Descartado</v>
      </c>
    </row>
    <row r="13" spans="1:9">
      <c r="A13" s="50"/>
      <c r="B13" s="51"/>
      <c r="C13" s="52"/>
      <c r="D13" s="53"/>
      <c r="E13" s="54"/>
      <c r="F13" s="54"/>
      <c r="G13" s="6" t="s">
        <v>120</v>
      </c>
      <c r="H13" s="7">
        <v>2</v>
      </c>
      <c r="I13" s="8">
        <f t="shared" si="0"/>
        <v>2</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0.5963860860519502</v>
      </c>
      <c r="B20" s="19">
        <f>COUNT(H3:H17)</f>
        <v>11</v>
      </c>
      <c r="C20" s="20">
        <f>IF(B20&lt;2,"N/A",(A20/D20))</f>
        <v>0.36813955929132725</v>
      </c>
      <c r="D20" s="21">
        <f>ROUND(AVERAGE(H3:H17),2)</f>
        <v>1.62</v>
      </c>
      <c r="E20" s="22">
        <f>IFERROR(ROUND(IF(B20&lt;2,"N/A",(IF(C20&lt;=25%,"N/A",AVERAGE(I3:I17)))),2),"N/A")</f>
        <v>1.41</v>
      </c>
      <c r="F20" s="22">
        <f>ROUND(MEDIAN(H3:H17),2)</f>
        <v>1.49</v>
      </c>
      <c r="G20" s="23" t="str">
        <f>INDEX(G3:G17,MATCH(H20,H3:H17,0))</f>
        <v>PRISMA PAPELARIA EIRELI</v>
      </c>
      <c r="H20" s="24">
        <f>MIN(H3:H17)</f>
        <v>0.89</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1.41</v>
      </c>
    </row>
    <row r="23" spans="1:11">
      <c r="B23" s="25"/>
      <c r="C23" s="25"/>
      <c r="D23" s="48"/>
      <c r="E23" s="48"/>
      <c r="F23" s="33"/>
      <c r="G23" s="4" t="s">
        <v>22</v>
      </c>
      <c r="H23" s="24">
        <f>ROUND(H22,2)*D3</f>
        <v>49350</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3" sqref="D3"/>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121</v>
      </c>
      <c r="B2" s="2" t="s">
        <v>2</v>
      </c>
      <c r="C2" s="2" t="s">
        <v>3</v>
      </c>
      <c r="D2" s="2" t="s">
        <v>4</v>
      </c>
      <c r="E2" s="3" t="s">
        <v>5</v>
      </c>
      <c r="F2" s="3" t="s">
        <v>6</v>
      </c>
      <c r="G2" s="2" t="s">
        <v>7</v>
      </c>
      <c r="H2" s="4" t="s">
        <v>8</v>
      </c>
      <c r="I2" s="5" t="s">
        <v>9</v>
      </c>
    </row>
    <row r="3" spans="1:9" ht="12.75" customHeight="1">
      <c r="A3" s="50"/>
      <c r="B3" s="55" t="s">
        <v>122</v>
      </c>
      <c r="C3" s="52" t="s">
        <v>45</v>
      </c>
      <c r="D3" s="53">
        <f>30000*0.75</f>
        <v>22500</v>
      </c>
      <c r="E3" s="54">
        <f>IF(C20&lt;=25%,D20,MIN(E20:F20))</f>
        <v>2.67</v>
      </c>
      <c r="F3" s="54">
        <f>MIN(H3:H17)</f>
        <v>2.35</v>
      </c>
      <c r="G3" s="6" t="s">
        <v>123</v>
      </c>
      <c r="H3" s="7">
        <v>2.35</v>
      </c>
      <c r="I3" s="8">
        <f t="shared" ref="I3:I17" si="0">IF(H3="","",(IF($C$20&lt;25%,"N/A",IF(H3&lt;=($D$20+$A$20),H3,"Descartado"))))</f>
        <v>2.35</v>
      </c>
    </row>
    <row r="4" spans="1:9">
      <c r="A4" s="50"/>
      <c r="B4" s="55"/>
      <c r="C4" s="52"/>
      <c r="D4" s="53"/>
      <c r="E4" s="54"/>
      <c r="F4" s="54"/>
      <c r="G4" s="6" t="s">
        <v>124</v>
      </c>
      <c r="H4" s="7">
        <v>2.78</v>
      </c>
      <c r="I4" s="8">
        <f t="shared" si="0"/>
        <v>2.78</v>
      </c>
    </row>
    <row r="5" spans="1:9">
      <c r="A5" s="50"/>
      <c r="B5" s="55"/>
      <c r="C5" s="52"/>
      <c r="D5" s="53"/>
      <c r="E5" s="54"/>
      <c r="F5" s="54"/>
      <c r="G5" s="6" t="s">
        <v>125</v>
      </c>
      <c r="H5" s="7">
        <v>2.89</v>
      </c>
      <c r="I5" s="8">
        <f t="shared" si="0"/>
        <v>2.89</v>
      </c>
    </row>
    <row r="6" spans="1:9">
      <c r="A6" s="50"/>
      <c r="B6" s="55"/>
      <c r="C6" s="52"/>
      <c r="D6" s="53"/>
      <c r="E6" s="54"/>
      <c r="F6" s="54"/>
      <c r="G6" s="6" t="s">
        <v>126</v>
      </c>
      <c r="H6" s="7">
        <v>8.9</v>
      </c>
      <c r="I6" s="8" t="str">
        <f t="shared" si="0"/>
        <v>Descartado</v>
      </c>
    </row>
    <row r="7" spans="1:9">
      <c r="A7" s="50"/>
      <c r="B7" s="55"/>
      <c r="C7" s="52"/>
      <c r="D7" s="53"/>
      <c r="E7" s="54"/>
      <c r="F7" s="54"/>
      <c r="G7" s="6"/>
      <c r="H7" s="7"/>
      <c r="I7" s="8" t="str">
        <f t="shared" si="0"/>
        <v/>
      </c>
    </row>
    <row r="8" spans="1:9">
      <c r="A8" s="50"/>
      <c r="B8" s="55"/>
      <c r="C8" s="52"/>
      <c r="D8" s="53"/>
      <c r="E8" s="54"/>
      <c r="F8" s="54"/>
      <c r="G8" s="6"/>
      <c r="H8" s="7"/>
      <c r="I8" s="8" t="str">
        <f t="shared" si="0"/>
        <v/>
      </c>
    </row>
    <row r="9" spans="1:9">
      <c r="A9" s="50"/>
      <c r="B9" s="55"/>
      <c r="C9" s="52"/>
      <c r="D9" s="53"/>
      <c r="E9" s="54"/>
      <c r="F9" s="54"/>
      <c r="G9" s="6"/>
      <c r="H9" s="7"/>
      <c r="I9" s="8" t="str">
        <f t="shared" si="0"/>
        <v/>
      </c>
    </row>
    <row r="10" spans="1:9">
      <c r="A10" s="50"/>
      <c r="B10" s="55"/>
      <c r="C10" s="52"/>
      <c r="D10" s="53"/>
      <c r="E10" s="54"/>
      <c r="F10" s="54"/>
      <c r="G10" s="6"/>
      <c r="H10" s="7"/>
      <c r="I10" s="8" t="str">
        <f t="shared" si="0"/>
        <v/>
      </c>
    </row>
    <row r="11" spans="1:9">
      <c r="A11" s="50"/>
      <c r="B11" s="55"/>
      <c r="C11" s="52"/>
      <c r="D11" s="53"/>
      <c r="E11" s="54"/>
      <c r="F11" s="54"/>
      <c r="G11" s="6"/>
      <c r="H11" s="7"/>
      <c r="I11" s="8" t="str">
        <f t="shared" si="0"/>
        <v/>
      </c>
    </row>
    <row r="12" spans="1:9">
      <c r="A12" s="50"/>
      <c r="B12" s="55"/>
      <c r="C12" s="52"/>
      <c r="D12" s="53"/>
      <c r="E12" s="54"/>
      <c r="F12" s="54"/>
      <c r="G12" s="6"/>
      <c r="H12" s="7"/>
      <c r="I12" s="8" t="str">
        <f t="shared" si="0"/>
        <v/>
      </c>
    </row>
    <row r="13" spans="1:9">
      <c r="A13" s="50"/>
      <c r="B13" s="55"/>
      <c r="C13" s="52"/>
      <c r="D13" s="53"/>
      <c r="E13" s="54"/>
      <c r="F13" s="54"/>
      <c r="G13" s="6"/>
      <c r="H13" s="7"/>
      <c r="I13" s="8" t="str">
        <f t="shared" si="0"/>
        <v/>
      </c>
    </row>
    <row r="14" spans="1:9">
      <c r="A14" s="50"/>
      <c r="B14" s="55"/>
      <c r="C14" s="52"/>
      <c r="D14" s="53"/>
      <c r="E14" s="54"/>
      <c r="F14" s="54"/>
      <c r="G14" s="6"/>
      <c r="H14" s="7"/>
      <c r="I14" s="8" t="str">
        <f t="shared" si="0"/>
        <v/>
      </c>
    </row>
    <row r="15" spans="1:9">
      <c r="A15" s="50"/>
      <c r="B15" s="55"/>
      <c r="C15" s="52"/>
      <c r="D15" s="53"/>
      <c r="E15" s="54"/>
      <c r="F15" s="54"/>
      <c r="G15" s="6"/>
      <c r="H15" s="7"/>
      <c r="I15" s="8" t="str">
        <f t="shared" si="0"/>
        <v/>
      </c>
    </row>
    <row r="16" spans="1:9">
      <c r="A16" s="50"/>
      <c r="B16" s="55"/>
      <c r="C16" s="52"/>
      <c r="D16" s="53"/>
      <c r="E16" s="54"/>
      <c r="F16" s="54"/>
      <c r="G16" s="6"/>
      <c r="H16" s="7"/>
      <c r="I16" s="8" t="str">
        <f t="shared" si="0"/>
        <v/>
      </c>
    </row>
    <row r="17" spans="1:11">
      <c r="A17" s="50"/>
      <c r="B17" s="55"/>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3.1220399314123664</v>
      </c>
      <c r="B20" s="19">
        <f>COUNT(H3:H17)</f>
        <v>4</v>
      </c>
      <c r="C20" s="20">
        <f>IF(B20&lt;2,"N/A",(A20/D20))</f>
        <v>0.7380709057712449</v>
      </c>
      <c r="D20" s="21">
        <f>ROUND(AVERAGE(H3:H17),2)</f>
        <v>4.2300000000000004</v>
      </c>
      <c r="E20" s="22">
        <f>IFERROR(ROUND(IF(B20&lt;2,"N/A",(IF(C20&lt;=25%,"N/A",AVERAGE(I3:I17)))),2),"N/A")</f>
        <v>2.67</v>
      </c>
      <c r="F20" s="22">
        <f>ROUND(MEDIAN(H3:H17),2)</f>
        <v>2.84</v>
      </c>
      <c r="G20" s="23" t="str">
        <f>INDEX(G3:G17,MATCH(H20,H3:H17,0))</f>
        <v>H. C. CORDEIRO</v>
      </c>
      <c r="H20" s="24">
        <f>MIN(H3:H17)</f>
        <v>2.35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2.67</v>
      </c>
    </row>
    <row r="23" spans="1:11">
      <c r="B23" s="25"/>
      <c r="C23" s="25"/>
      <c r="D23" s="48"/>
      <c r="E23" s="48"/>
      <c r="F23" s="33"/>
      <c r="G23" s="4" t="s">
        <v>22</v>
      </c>
      <c r="H23" s="24">
        <f>ROUND(H22,2)*D3</f>
        <v>60075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B35" sqref="B35"/>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30</v>
      </c>
      <c r="B2" s="2" t="s">
        <v>2</v>
      </c>
      <c r="C2" s="2" t="s">
        <v>3</v>
      </c>
      <c r="D2" s="2" t="s">
        <v>4</v>
      </c>
      <c r="E2" s="3" t="s">
        <v>5</v>
      </c>
      <c r="F2" s="3" t="s">
        <v>6</v>
      </c>
      <c r="G2" s="2" t="s">
        <v>7</v>
      </c>
      <c r="H2" s="4" t="s">
        <v>8</v>
      </c>
      <c r="I2" s="5" t="s">
        <v>9</v>
      </c>
    </row>
    <row r="3" spans="1:9" ht="12.75" customHeight="1">
      <c r="A3" s="50"/>
      <c r="B3" s="51" t="s">
        <v>31</v>
      </c>
      <c r="C3" s="52" t="s">
        <v>11</v>
      </c>
      <c r="D3" s="53">
        <v>4</v>
      </c>
      <c r="E3" s="54">
        <f>IF(C20&lt;=25%,D20,MIN(E20:F20))</f>
        <v>21553.54</v>
      </c>
      <c r="F3" s="54">
        <f>MIN(H3:H17)</f>
        <v>20998</v>
      </c>
      <c r="G3" s="6" t="s">
        <v>12</v>
      </c>
      <c r="H3" s="7">
        <v>20998</v>
      </c>
      <c r="I3" s="8" t="str">
        <f t="shared" ref="I3:I17" si="0">IF(H3="","",(IF($C$20&lt;25%,"N/A",IF(H3&lt;=($D$20+$A$20),H3,"Descartado"))))</f>
        <v>N/A</v>
      </c>
    </row>
    <row r="4" spans="1:9">
      <c r="A4" s="50"/>
      <c r="B4" s="51"/>
      <c r="C4" s="52"/>
      <c r="D4" s="53"/>
      <c r="E4" s="54"/>
      <c r="F4" s="54"/>
      <c r="G4" s="6" t="s">
        <v>13</v>
      </c>
      <c r="H4" s="7">
        <v>22109.08</v>
      </c>
      <c r="I4" s="8" t="str">
        <f t="shared" si="0"/>
        <v>N/A</v>
      </c>
    </row>
    <row r="5" spans="1:9">
      <c r="A5" s="50"/>
      <c r="B5" s="51"/>
      <c r="C5" s="52"/>
      <c r="D5" s="53"/>
      <c r="E5" s="54"/>
      <c r="F5" s="54"/>
      <c r="G5" s="6"/>
      <c r="H5" s="7"/>
      <c r="I5" s="8" t="str">
        <f t="shared" si="0"/>
        <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785.65220244075044</v>
      </c>
      <c r="B20" s="19">
        <f>COUNT(H3:H17)</f>
        <v>2</v>
      </c>
      <c r="C20" s="20">
        <f>IF(B20&lt;2,"N/A",(A20/D20))</f>
        <v>3.6451190961705147E-2</v>
      </c>
      <c r="D20" s="21">
        <f>ROUND(AVERAGE(H3:H17),2)</f>
        <v>21553.54</v>
      </c>
      <c r="E20" s="22" t="str">
        <f>IFERROR(ROUND(IF(B20&lt;2,"N/A",(IF(C20&lt;=25%,"N/A",AVERAGE(I3:I17)))),2),"N/A")</f>
        <v>N/A</v>
      </c>
      <c r="F20" s="22">
        <f>ROUND(MEDIAN(H3:H17),2)</f>
        <v>21553.54</v>
      </c>
      <c r="G20" s="23" t="str">
        <f>INDEX(G3:G17,MATCH(H20,H3:H17,0))</f>
        <v>G3 Solutions</v>
      </c>
      <c r="H20" s="24">
        <f>MIN(H3:H17)</f>
        <v>20998</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21553.54</v>
      </c>
    </row>
    <row r="23" spans="1:11">
      <c r="B23" s="25"/>
      <c r="C23" s="25"/>
      <c r="D23" s="48"/>
      <c r="E23" s="48"/>
      <c r="F23" s="33"/>
      <c r="G23" s="4" t="s">
        <v>22</v>
      </c>
      <c r="H23" s="24">
        <f>ROUND(H22,2)*D3</f>
        <v>86214.16</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127</v>
      </c>
      <c r="B2" s="2" t="s">
        <v>2</v>
      </c>
      <c r="C2" s="2" t="s">
        <v>3</v>
      </c>
      <c r="D2" s="2" t="s">
        <v>4</v>
      </c>
      <c r="E2" s="3" t="s">
        <v>5</v>
      </c>
      <c r="F2" s="3" t="s">
        <v>6</v>
      </c>
      <c r="G2" s="2" t="s">
        <v>7</v>
      </c>
      <c r="H2" s="4" t="s">
        <v>8</v>
      </c>
      <c r="I2" s="5" t="s">
        <v>9</v>
      </c>
    </row>
    <row r="3" spans="1:9" ht="12.75" customHeight="1">
      <c r="A3" s="50"/>
      <c r="B3" s="51" t="s">
        <v>128</v>
      </c>
      <c r="C3" s="52" t="s">
        <v>62</v>
      </c>
      <c r="D3" s="53">
        <f>20000*0.75</f>
        <v>15000</v>
      </c>
      <c r="E3" s="54">
        <f>IF(C20&lt;=25%,D20,MIN(E20:F20))</f>
        <v>4.37</v>
      </c>
      <c r="F3" s="54">
        <f>MIN(H3:H17)</f>
        <v>1.49</v>
      </c>
      <c r="G3" s="6" t="s">
        <v>129</v>
      </c>
      <c r="H3" s="7">
        <v>1.49</v>
      </c>
      <c r="I3" s="8">
        <f t="shared" ref="I3:I17" si="0">IF(H3="","",(IF($C$20&lt;25%,"N/A",IF(H3&lt;=($D$20+$A$20),H3,"Descartado"))))</f>
        <v>1.49</v>
      </c>
    </row>
    <row r="4" spans="1:9">
      <c r="A4" s="50"/>
      <c r="B4" s="51"/>
      <c r="C4" s="52"/>
      <c r="D4" s="53"/>
      <c r="E4" s="54"/>
      <c r="F4" s="54"/>
      <c r="G4" s="6" t="s">
        <v>130</v>
      </c>
      <c r="H4" s="7">
        <v>9</v>
      </c>
      <c r="I4" s="8" t="str">
        <f t="shared" si="0"/>
        <v>Descartado</v>
      </c>
    </row>
    <row r="5" spans="1:9">
      <c r="A5" s="50"/>
      <c r="B5" s="51"/>
      <c r="C5" s="52"/>
      <c r="D5" s="53"/>
      <c r="E5" s="54"/>
      <c r="F5" s="54"/>
      <c r="G5" s="6" t="s">
        <v>131</v>
      </c>
      <c r="H5" s="7">
        <v>5.65</v>
      </c>
      <c r="I5" s="8">
        <f t="shared" si="0"/>
        <v>5.65</v>
      </c>
    </row>
    <row r="6" spans="1:9">
      <c r="A6" s="50"/>
      <c r="B6" s="51"/>
      <c r="C6" s="52"/>
      <c r="D6" s="53"/>
      <c r="E6" s="54"/>
      <c r="F6" s="54"/>
      <c r="G6" s="6" t="s">
        <v>132</v>
      </c>
      <c r="H6" s="7">
        <v>3.95</v>
      </c>
      <c r="I6" s="8">
        <f t="shared" si="0"/>
        <v>3.95</v>
      </c>
    </row>
    <row r="7" spans="1:9">
      <c r="A7" s="50"/>
      <c r="B7" s="51"/>
      <c r="C7" s="52"/>
      <c r="D7" s="53"/>
      <c r="E7" s="54"/>
      <c r="F7" s="54"/>
      <c r="G7" s="6" t="s">
        <v>133</v>
      </c>
      <c r="H7" s="7">
        <v>2.2000000000000002</v>
      </c>
      <c r="I7" s="8">
        <f t="shared" si="0"/>
        <v>2.2000000000000002</v>
      </c>
    </row>
    <row r="8" spans="1:9">
      <c r="A8" s="50"/>
      <c r="B8" s="51"/>
      <c r="C8" s="52"/>
      <c r="D8" s="53"/>
      <c r="E8" s="54"/>
      <c r="F8" s="54"/>
      <c r="G8" s="6" t="s">
        <v>116</v>
      </c>
      <c r="H8" s="7">
        <v>6.1</v>
      </c>
      <c r="I8" s="8">
        <f t="shared" si="0"/>
        <v>6.1</v>
      </c>
    </row>
    <row r="9" spans="1:9">
      <c r="A9" s="50"/>
      <c r="B9" s="51"/>
      <c r="C9" s="52"/>
      <c r="D9" s="53"/>
      <c r="E9" s="54"/>
      <c r="F9" s="54"/>
      <c r="G9" s="6" t="s">
        <v>117</v>
      </c>
      <c r="H9" s="7">
        <v>4.66</v>
      </c>
      <c r="I9" s="8">
        <f t="shared" si="0"/>
        <v>4.66</v>
      </c>
    </row>
    <row r="10" spans="1:9">
      <c r="A10" s="50"/>
      <c r="B10" s="51"/>
      <c r="C10" s="52"/>
      <c r="D10" s="53"/>
      <c r="E10" s="54"/>
      <c r="F10" s="54"/>
      <c r="G10" s="6" t="s">
        <v>134</v>
      </c>
      <c r="H10" s="7">
        <v>6.53</v>
      </c>
      <c r="I10" s="8">
        <f t="shared" si="0"/>
        <v>6.53</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2.4298603722377603</v>
      </c>
      <c r="B20" s="19">
        <f>COUNT(H3:H17)</f>
        <v>8</v>
      </c>
      <c r="C20" s="20">
        <f>IF(B20&lt;2,"N/A",(A20/D20))</f>
        <v>0.49088088328035562</v>
      </c>
      <c r="D20" s="21">
        <f>ROUND(AVERAGE(H3:H17),2)</f>
        <v>4.95</v>
      </c>
      <c r="E20" s="22">
        <f>IFERROR(ROUND(IF(B20&lt;2,"N/A",(IF(C20&lt;=25%,"N/A",AVERAGE(I3:I17)))),2),"N/A")</f>
        <v>4.37</v>
      </c>
      <c r="F20" s="22">
        <f>ROUND(MEDIAN(H3:H17),2)</f>
        <v>5.16</v>
      </c>
      <c r="G20" s="23" t="str">
        <f>INDEX(G3:G17,MATCH(H20,H3:H17,0))</f>
        <v>RAFA PAPER DISTRIBUIDORA EIRELI</v>
      </c>
      <c r="H20" s="24">
        <f>MIN(H3:H17)</f>
        <v>1.49</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4.37</v>
      </c>
    </row>
    <row r="23" spans="1:11">
      <c r="B23" s="25"/>
      <c r="C23" s="25"/>
      <c r="D23" s="48"/>
      <c r="E23" s="48"/>
      <c r="F23" s="33"/>
      <c r="G23" s="4" t="s">
        <v>22</v>
      </c>
      <c r="H23" s="24">
        <f>ROUND(H22,2)*D3</f>
        <v>65550</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3" sqref="G3"/>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135</v>
      </c>
      <c r="B2" s="2" t="s">
        <v>2</v>
      </c>
      <c r="C2" s="2" t="s">
        <v>3</v>
      </c>
      <c r="D2" s="2" t="s">
        <v>4</v>
      </c>
      <c r="E2" s="3" t="s">
        <v>5</v>
      </c>
      <c r="F2" s="3" t="s">
        <v>6</v>
      </c>
      <c r="G2" s="2" t="s">
        <v>7</v>
      </c>
      <c r="H2" s="4" t="s">
        <v>8</v>
      </c>
      <c r="I2" s="5" t="s">
        <v>9</v>
      </c>
    </row>
    <row r="3" spans="1:9" ht="12.75" customHeight="1">
      <c r="A3" s="50"/>
      <c r="B3" s="51" t="s">
        <v>136</v>
      </c>
      <c r="C3" s="52" t="s">
        <v>62</v>
      </c>
      <c r="D3" s="53">
        <f>40000*0.75</f>
        <v>30000</v>
      </c>
      <c r="E3" s="54">
        <f>IF(C20&lt;=25%,D20,MIN(E20:F20))</f>
        <v>5</v>
      </c>
      <c r="F3" s="54">
        <f>MIN(H3:H17)</f>
        <v>3.4</v>
      </c>
      <c r="G3" s="6" t="s">
        <v>137</v>
      </c>
      <c r="H3" s="7">
        <v>6</v>
      </c>
      <c r="I3" s="8">
        <f t="shared" ref="I3:I17" si="0">IF(H3="","",(IF($C$20&lt;25%,"N/A",IF(H3&lt;=($D$20+$A$20),H3,"Descartado"))))</f>
        <v>6</v>
      </c>
    </row>
    <row r="4" spans="1:9">
      <c r="A4" s="50"/>
      <c r="B4" s="51"/>
      <c r="C4" s="52"/>
      <c r="D4" s="53"/>
      <c r="E4" s="54"/>
      <c r="F4" s="54"/>
      <c r="G4" s="6" t="s">
        <v>138</v>
      </c>
      <c r="H4" s="7">
        <v>5.01</v>
      </c>
      <c r="I4" s="8">
        <f t="shared" si="0"/>
        <v>5.01</v>
      </c>
    </row>
    <row r="5" spans="1:9">
      <c r="A5" s="50"/>
      <c r="B5" s="51"/>
      <c r="C5" s="52"/>
      <c r="D5" s="53"/>
      <c r="E5" s="54"/>
      <c r="F5" s="54"/>
      <c r="G5" s="6" t="s">
        <v>132</v>
      </c>
      <c r="H5" s="7">
        <v>6.84</v>
      </c>
      <c r="I5" s="8" t="str">
        <f t="shared" si="0"/>
        <v>Descartado</v>
      </c>
    </row>
    <row r="6" spans="1:9">
      <c r="A6" s="50"/>
      <c r="B6" s="51"/>
      <c r="C6" s="52"/>
      <c r="D6" s="53"/>
      <c r="E6" s="54"/>
      <c r="F6" s="54"/>
      <c r="G6" s="6" t="s">
        <v>139</v>
      </c>
      <c r="H6" s="7">
        <v>4.04</v>
      </c>
      <c r="I6" s="8">
        <f t="shared" si="0"/>
        <v>4.04</v>
      </c>
    </row>
    <row r="7" spans="1:9">
      <c r="A7" s="50"/>
      <c r="B7" s="51"/>
      <c r="C7" s="52"/>
      <c r="D7" s="53"/>
      <c r="E7" s="54"/>
      <c r="F7" s="54"/>
      <c r="G7" s="6" t="s">
        <v>140</v>
      </c>
      <c r="H7" s="7">
        <v>6.55</v>
      </c>
      <c r="I7" s="8">
        <f t="shared" si="0"/>
        <v>6.55</v>
      </c>
    </row>
    <row r="8" spans="1:9">
      <c r="A8" s="50"/>
      <c r="B8" s="51"/>
      <c r="C8" s="52"/>
      <c r="D8" s="53"/>
      <c r="E8" s="54"/>
      <c r="F8" s="54"/>
      <c r="G8" s="6" t="s">
        <v>141</v>
      </c>
      <c r="H8" s="7">
        <v>3.4</v>
      </c>
      <c r="I8" s="8">
        <f t="shared" si="0"/>
        <v>3.4</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1.393236041260296</v>
      </c>
      <c r="B20" s="19">
        <f>COUNT(H3:H17)</f>
        <v>6</v>
      </c>
      <c r="C20" s="20">
        <f>IF(B20&lt;2,"N/A",(A20/D20))</f>
        <v>0.26237966878724972</v>
      </c>
      <c r="D20" s="21">
        <f>ROUND(AVERAGE(H3:H17),2)</f>
        <v>5.31</v>
      </c>
      <c r="E20" s="22">
        <f>IFERROR(ROUND(IF(B20&lt;2,"N/A",(IF(C20&lt;=25%,"N/A",AVERAGE(I3:I17)))),2),"N/A")</f>
        <v>5</v>
      </c>
      <c r="F20" s="22">
        <f>ROUND(MEDIAN(H3:H17),2)</f>
        <v>5.51</v>
      </c>
      <c r="G20" s="23" t="str">
        <f>INDEX(G3:G17,MATCH(H20,H3:H17,0))</f>
        <v>MARILANA STEFANINI MESSA 30003195813</v>
      </c>
      <c r="H20" s="24">
        <f>MIN(H3:H17)</f>
        <v>3.4</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5</v>
      </c>
    </row>
    <row r="23" spans="1:11">
      <c r="B23" s="25"/>
      <c r="C23" s="25"/>
      <c r="D23" s="48"/>
      <c r="E23" s="48"/>
      <c r="F23" s="33"/>
      <c r="G23" s="4" t="s">
        <v>22</v>
      </c>
      <c r="H23" s="24">
        <f>ROUND(H22,2)*D3</f>
        <v>150000</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B18" sqref="B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142</v>
      </c>
      <c r="B2" s="2" t="s">
        <v>2</v>
      </c>
      <c r="C2" s="2" t="s">
        <v>3</v>
      </c>
      <c r="D2" s="2" t="s">
        <v>4</v>
      </c>
      <c r="E2" s="3" t="s">
        <v>5</v>
      </c>
      <c r="F2" s="3" t="s">
        <v>6</v>
      </c>
      <c r="G2" s="2" t="s">
        <v>7</v>
      </c>
      <c r="H2" s="4" t="s">
        <v>8</v>
      </c>
      <c r="I2" s="5" t="s">
        <v>9</v>
      </c>
    </row>
    <row r="3" spans="1:9" ht="12.75" customHeight="1">
      <c r="A3" s="50"/>
      <c r="B3" s="51" t="s">
        <v>143</v>
      </c>
      <c r="C3" s="52" t="s">
        <v>62</v>
      </c>
      <c r="D3" s="53">
        <f>30000*0.75</f>
        <v>22500</v>
      </c>
      <c r="E3" s="54">
        <f>IF(C20&lt;=25%,D20,MIN(E20:F20))</f>
        <v>5.33</v>
      </c>
      <c r="F3" s="54">
        <f>MIN(H3:H17)</f>
        <v>4.04</v>
      </c>
      <c r="G3" s="6" t="s">
        <v>137</v>
      </c>
      <c r="H3" s="7">
        <v>4.7</v>
      </c>
      <c r="I3" s="8" t="str">
        <f t="shared" ref="I3:I17" si="0">IF(H3="","",(IF($C$20&lt;25%,"N/A",IF(H3&lt;=($D$20+$A$20),H3,"Descartado"))))</f>
        <v>N/A</v>
      </c>
    </row>
    <row r="4" spans="1:9">
      <c r="A4" s="50"/>
      <c r="B4" s="51"/>
      <c r="C4" s="52"/>
      <c r="D4" s="53"/>
      <c r="E4" s="54"/>
      <c r="F4" s="54"/>
      <c r="G4" s="6" t="s">
        <v>144</v>
      </c>
      <c r="H4" s="7">
        <v>6.03</v>
      </c>
      <c r="I4" s="8" t="str">
        <f t="shared" si="0"/>
        <v>N/A</v>
      </c>
    </row>
    <row r="5" spans="1:9">
      <c r="A5" s="50"/>
      <c r="B5" s="51"/>
      <c r="C5" s="52"/>
      <c r="D5" s="53"/>
      <c r="E5" s="54"/>
      <c r="F5" s="54"/>
      <c r="G5" s="6" t="s">
        <v>139</v>
      </c>
      <c r="H5" s="7">
        <v>4.04</v>
      </c>
      <c r="I5" s="8" t="str">
        <f t="shared" si="0"/>
        <v>N/A</v>
      </c>
    </row>
    <row r="6" spans="1:9">
      <c r="A6" s="50"/>
      <c r="B6" s="51"/>
      <c r="C6" s="52"/>
      <c r="D6" s="53"/>
      <c r="E6" s="54"/>
      <c r="F6" s="54"/>
      <c r="G6" s="6" t="s">
        <v>140</v>
      </c>
      <c r="H6" s="7">
        <v>6.55</v>
      </c>
      <c r="I6" s="8" t="str">
        <f t="shared" si="0"/>
        <v>N/A</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1.1603735030871187</v>
      </c>
      <c r="B20" s="19">
        <f>COUNT(H3:H17)</f>
        <v>4</v>
      </c>
      <c r="C20" s="20">
        <f>IF(B20&lt;2,"N/A",(A20/D20))</f>
        <v>0.21770609814017236</v>
      </c>
      <c r="D20" s="21">
        <f>ROUND(AVERAGE(H3:H17),2)</f>
        <v>5.33</v>
      </c>
      <c r="E20" s="22" t="str">
        <f>IFERROR(ROUND(IF(B20&lt;2,"N/A",(IF(C20&lt;=25%,"N/A",AVERAGE(I3:I17)))),2),"N/A")</f>
        <v>N/A</v>
      </c>
      <c r="F20" s="22">
        <f>ROUND(MEDIAN(H3:H17),2)</f>
        <v>5.37</v>
      </c>
      <c r="G20" s="23" t="str">
        <f>INDEX(G3:G17,MATCH(H20,H3:H17,0))</f>
        <v>NZB EMBALAGENS</v>
      </c>
      <c r="H20" s="24">
        <f>MIN(H3:H17)</f>
        <v>4.04</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5.33</v>
      </c>
    </row>
    <row r="23" spans="1:11">
      <c r="B23" s="25"/>
      <c r="C23" s="25"/>
      <c r="D23" s="48"/>
      <c r="E23" s="48"/>
      <c r="F23" s="33"/>
      <c r="G23" s="4" t="s">
        <v>22</v>
      </c>
      <c r="H23" s="24">
        <f>ROUND(H22,2)*D3</f>
        <v>119925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145</v>
      </c>
      <c r="B2" s="2" t="s">
        <v>2</v>
      </c>
      <c r="C2" s="2" t="s">
        <v>3</v>
      </c>
      <c r="D2" s="2" t="s">
        <v>4</v>
      </c>
      <c r="E2" s="3" t="s">
        <v>5</v>
      </c>
      <c r="F2" s="3" t="s">
        <v>6</v>
      </c>
      <c r="G2" s="2" t="s">
        <v>7</v>
      </c>
      <c r="H2" s="4" t="s">
        <v>8</v>
      </c>
      <c r="I2" s="5" t="s">
        <v>9</v>
      </c>
    </row>
    <row r="3" spans="1:9" ht="12.75" customHeight="1">
      <c r="A3" s="50"/>
      <c r="B3" s="51" t="s">
        <v>68</v>
      </c>
      <c r="C3" s="52" t="s">
        <v>62</v>
      </c>
      <c r="D3" s="53">
        <f>30000*0.75</f>
        <v>22500</v>
      </c>
      <c r="E3" s="54">
        <f>IF(C20&lt;=25%,D20,MIN(E20:F20))</f>
        <v>3.48</v>
      </c>
      <c r="F3" s="54">
        <f>MIN(H3:H17)</f>
        <v>3.48</v>
      </c>
      <c r="G3" s="6" t="s">
        <v>69</v>
      </c>
      <c r="H3" s="7">
        <v>3.48</v>
      </c>
      <c r="I3" s="8" t="e">
        <f t="shared" ref="I3:I17" si="0">IF(H3="","",(IF($C$20&lt;25%,"N/A",IF(H3&lt;=($D$20+$A$20),H3,"Descartado"))))</f>
        <v>#VALUE!</v>
      </c>
    </row>
    <row r="4" spans="1:9">
      <c r="A4" s="50"/>
      <c r="B4" s="51"/>
      <c r="C4" s="52"/>
      <c r="D4" s="53"/>
      <c r="E4" s="54"/>
      <c r="F4" s="54"/>
      <c r="G4" s="6"/>
      <c r="H4" s="7"/>
      <c r="I4" s="8" t="str">
        <f t="shared" si="0"/>
        <v/>
      </c>
    </row>
    <row r="5" spans="1:9">
      <c r="A5" s="50"/>
      <c r="B5" s="51"/>
      <c r="C5" s="52"/>
      <c r="D5" s="53"/>
      <c r="E5" s="54"/>
      <c r="F5" s="54"/>
      <c r="G5" s="6"/>
      <c r="H5" s="7"/>
      <c r="I5" s="8" t="str">
        <f t="shared" si="0"/>
        <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t="str">
        <f>IF(B20&lt;2,"N/A",(STDEV(H3:H17)))</f>
        <v>N/A</v>
      </c>
      <c r="B20" s="19">
        <f>COUNT(H3:H17)</f>
        <v>1</v>
      </c>
      <c r="C20" s="20" t="str">
        <f>IF(B20&lt;2,"N/A",(A20/D20))</f>
        <v>N/A</v>
      </c>
      <c r="D20" s="21">
        <f>ROUND(AVERAGE(H3:H17),2)</f>
        <v>3.48</v>
      </c>
      <c r="E20" s="22" t="str">
        <f>IFERROR(ROUND(IF(B20&lt;2,"N/A",(IF(C20&lt;=25%,"N/A",AVERAGE(I3:I17)))),2),"N/A")</f>
        <v>N/A</v>
      </c>
      <c r="F20" s="22">
        <f>ROUND(MEDIAN(H3:H17),2)</f>
        <v>3.48</v>
      </c>
      <c r="G20" s="23" t="str">
        <f>INDEX(G3:G17,MATCH(H20,H3:H17,0))</f>
        <v>MÁXIMO INDÚSTRIA E COMÉRCIO EIRELI</v>
      </c>
      <c r="H20" s="24">
        <f>MIN(H3:H17)</f>
        <v>3.48</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3.48</v>
      </c>
    </row>
    <row r="23" spans="1:11">
      <c r="B23" s="25"/>
      <c r="C23" s="25"/>
      <c r="D23" s="48"/>
      <c r="E23" s="48"/>
      <c r="F23" s="33"/>
      <c r="G23" s="4" t="s">
        <v>22</v>
      </c>
      <c r="H23" s="24">
        <f>ROUND(H22,2)*D3</f>
        <v>78300</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146</v>
      </c>
      <c r="B2" s="2" t="s">
        <v>2</v>
      </c>
      <c r="C2" s="2" t="s">
        <v>3</v>
      </c>
      <c r="D2" s="2" t="s">
        <v>4</v>
      </c>
      <c r="E2" s="3" t="s">
        <v>5</v>
      </c>
      <c r="F2" s="3" t="s">
        <v>6</v>
      </c>
      <c r="G2" s="2" t="s">
        <v>7</v>
      </c>
      <c r="H2" s="4" t="s">
        <v>8</v>
      </c>
      <c r="I2" s="5" t="s">
        <v>9</v>
      </c>
    </row>
    <row r="3" spans="1:9" ht="12.75" customHeight="1">
      <c r="A3" s="50"/>
      <c r="B3" s="51" t="s">
        <v>100</v>
      </c>
      <c r="C3" s="52" t="s">
        <v>62</v>
      </c>
      <c r="D3" s="53">
        <f>400*0.75</f>
        <v>300</v>
      </c>
      <c r="E3" s="54">
        <f>IF(C20&lt;=25%,D20,MIN(E20:F20))</f>
        <v>212.58</v>
      </c>
      <c r="F3" s="54">
        <f>MIN(H3:H17)</f>
        <v>212.58</v>
      </c>
      <c r="G3" s="6" t="s">
        <v>101</v>
      </c>
      <c r="H3" s="7">
        <v>212.58</v>
      </c>
      <c r="I3" s="8" t="e">
        <f t="shared" ref="I3:I17" si="0">IF(H3="","",(IF($C$20&lt;25%,"N/A",IF(H3&lt;=($D$20+$A$20),H3,"Descartado"))))</f>
        <v>#VALUE!</v>
      </c>
    </row>
    <row r="4" spans="1:9">
      <c r="A4" s="50"/>
      <c r="B4" s="51"/>
      <c r="C4" s="52"/>
      <c r="D4" s="53"/>
      <c r="E4" s="54"/>
      <c r="F4" s="54"/>
      <c r="G4" s="6"/>
      <c r="H4" s="7"/>
      <c r="I4" s="8" t="str">
        <f t="shared" si="0"/>
        <v/>
      </c>
    </row>
    <row r="5" spans="1:9">
      <c r="A5" s="50"/>
      <c r="B5" s="51"/>
      <c r="C5" s="52"/>
      <c r="D5" s="53"/>
      <c r="E5" s="54"/>
      <c r="F5" s="54"/>
      <c r="G5" s="6"/>
      <c r="H5" s="7"/>
      <c r="I5" s="8" t="str">
        <f t="shared" si="0"/>
        <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t="str">
        <f>IF(B20&lt;2,"N/A",(STDEV(H3:H17)))</f>
        <v>N/A</v>
      </c>
      <c r="B20" s="19">
        <f>COUNT(H3:H17)</f>
        <v>1</v>
      </c>
      <c r="C20" s="20" t="str">
        <f>IF(B20&lt;2,"N/A",(A20/D20))</f>
        <v>N/A</v>
      </c>
      <c r="D20" s="21">
        <f>ROUND(AVERAGE(H3:H17),2)</f>
        <v>212.58</v>
      </c>
      <c r="E20" s="22" t="str">
        <f>IFERROR(ROUND(IF(B20&lt;2,"N/A",(IF(C20&lt;=25%,"N/A",AVERAGE(I3:I17)))),2),"N/A")</f>
        <v>N/A</v>
      </c>
      <c r="F20" s="22">
        <f>ROUND(MEDIAN(H3:H17),2)</f>
        <v>212.58</v>
      </c>
      <c r="G20" s="23" t="str">
        <f>INDEX(G3:G17,MATCH(H20,H3:H17,0))</f>
        <v>FABRICIO RACHADEL COSTA</v>
      </c>
      <c r="H20" s="24">
        <f>MIN(H3:H17)</f>
        <v>212.58</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212.58</v>
      </c>
    </row>
    <row r="23" spans="1:11">
      <c r="B23" s="25"/>
      <c r="C23" s="25"/>
      <c r="D23" s="48"/>
      <c r="E23" s="48"/>
      <c r="F23" s="33"/>
      <c r="G23" s="4" t="s">
        <v>22</v>
      </c>
      <c r="H23" s="24">
        <f>ROUND(H22,2)*D3</f>
        <v>63774.000000000007</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147</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J2" sqref="J2"/>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152</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153</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154</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155</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12" sqref="H12"/>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32</v>
      </c>
      <c r="B2" s="2" t="s">
        <v>2</v>
      </c>
      <c r="C2" s="2" t="s">
        <v>3</v>
      </c>
      <c r="D2" s="2" t="s">
        <v>4</v>
      </c>
      <c r="E2" s="3" t="s">
        <v>5</v>
      </c>
      <c r="F2" s="3" t="s">
        <v>6</v>
      </c>
      <c r="G2" s="2" t="s">
        <v>7</v>
      </c>
      <c r="H2" s="4" t="s">
        <v>8</v>
      </c>
      <c r="I2" s="5" t="s">
        <v>9</v>
      </c>
    </row>
    <row r="3" spans="1:9" ht="12.75" customHeight="1">
      <c r="A3" s="50"/>
      <c r="B3" s="51" t="s">
        <v>33</v>
      </c>
      <c r="C3" s="52" t="s">
        <v>11</v>
      </c>
      <c r="D3" s="53">
        <v>2</v>
      </c>
      <c r="E3" s="54">
        <f>IF(C20&lt;=25%,D20,MIN(E20:F20))</f>
        <v>280806.3</v>
      </c>
      <c r="F3" s="54">
        <f>MIN(H3:H17)</f>
        <v>244900</v>
      </c>
      <c r="G3" s="6" t="s">
        <v>12</v>
      </c>
      <c r="H3" s="7">
        <v>247142</v>
      </c>
      <c r="I3" s="8" t="str">
        <f t="shared" ref="I3:I17" si="0">IF(H3="","",(IF($C$20&lt;25%,"N/A",IF(H3&lt;=($D$20+$A$20),H3,"Descartado"))))</f>
        <v>N/A</v>
      </c>
    </row>
    <row r="4" spans="1:9">
      <c r="A4" s="50"/>
      <c r="B4" s="51"/>
      <c r="C4" s="52"/>
      <c r="D4" s="53"/>
      <c r="E4" s="54"/>
      <c r="F4" s="54"/>
      <c r="G4" s="6" t="s">
        <v>13</v>
      </c>
      <c r="H4" s="7">
        <v>244900</v>
      </c>
      <c r="I4" s="8" t="str">
        <f t="shared" si="0"/>
        <v>N/A</v>
      </c>
    </row>
    <row r="5" spans="1:9">
      <c r="A5" s="50"/>
      <c r="B5" s="51"/>
      <c r="C5" s="52"/>
      <c r="D5" s="53"/>
      <c r="E5" s="54"/>
      <c r="F5" s="54"/>
      <c r="G5" s="6" t="s">
        <v>198</v>
      </c>
      <c r="H5" s="7">
        <v>256668.69</v>
      </c>
      <c r="I5" s="8" t="str">
        <f t="shared" si="0"/>
        <v>N/A</v>
      </c>
    </row>
    <row r="6" spans="1:9">
      <c r="A6" s="50"/>
      <c r="B6" s="51"/>
      <c r="C6" s="52"/>
      <c r="D6" s="53"/>
      <c r="E6" s="54"/>
      <c r="F6" s="54"/>
      <c r="G6" s="6" t="s">
        <v>195</v>
      </c>
      <c r="H6" s="7">
        <v>262674.03999999998</v>
      </c>
      <c r="I6" s="8" t="str">
        <f t="shared" si="0"/>
        <v>N/A</v>
      </c>
    </row>
    <row r="7" spans="1:9">
      <c r="A7" s="50"/>
      <c r="B7" s="51"/>
      <c r="C7" s="52"/>
      <c r="D7" s="53"/>
      <c r="E7" s="54"/>
      <c r="F7" s="54"/>
      <c r="G7" s="6" t="s">
        <v>199</v>
      </c>
      <c r="H7" s="7">
        <v>287390.5</v>
      </c>
      <c r="I7" s="8" t="str">
        <f t="shared" si="0"/>
        <v>N/A</v>
      </c>
    </row>
    <row r="8" spans="1:9">
      <c r="A8" s="50"/>
      <c r="B8" s="51"/>
      <c r="C8" s="52"/>
      <c r="D8" s="53"/>
      <c r="E8" s="54"/>
      <c r="F8" s="54"/>
      <c r="G8" s="6" t="s">
        <v>200</v>
      </c>
      <c r="H8" s="7">
        <v>274765.77</v>
      </c>
      <c r="I8" s="8" t="str">
        <f t="shared" si="0"/>
        <v>N/A</v>
      </c>
    </row>
    <row r="9" spans="1:9">
      <c r="A9" s="50"/>
      <c r="B9" s="51"/>
      <c r="C9" s="52"/>
      <c r="D9" s="53"/>
      <c r="E9" s="54"/>
      <c r="F9" s="54"/>
      <c r="G9" s="6" t="s">
        <v>201</v>
      </c>
      <c r="H9" s="7">
        <v>308481.64</v>
      </c>
      <c r="I9" s="8" t="str">
        <f t="shared" si="0"/>
        <v>N/A</v>
      </c>
    </row>
    <row r="10" spans="1:9">
      <c r="A10" s="50"/>
      <c r="B10" s="51"/>
      <c r="C10" s="52"/>
      <c r="D10" s="53"/>
      <c r="E10" s="54"/>
      <c r="F10" s="54"/>
      <c r="G10" s="6" t="s">
        <v>200</v>
      </c>
      <c r="H10" s="7">
        <v>295286.87</v>
      </c>
      <c r="I10" s="8" t="str">
        <f t="shared" si="0"/>
        <v>N/A</v>
      </c>
    </row>
    <row r="11" spans="1:9">
      <c r="A11" s="50"/>
      <c r="B11" s="51"/>
      <c r="C11" s="52"/>
      <c r="D11" s="53"/>
      <c r="E11" s="54"/>
      <c r="F11" s="54"/>
      <c r="G11" s="6" t="s">
        <v>191</v>
      </c>
      <c r="H11" s="7">
        <v>324846.64</v>
      </c>
      <c r="I11" s="8" t="str">
        <f t="shared" si="0"/>
        <v>N/A</v>
      </c>
    </row>
    <row r="12" spans="1:9">
      <c r="A12" s="50"/>
      <c r="B12" s="51"/>
      <c r="C12" s="52"/>
      <c r="D12" s="53"/>
      <c r="E12" s="54"/>
      <c r="F12" s="54"/>
      <c r="G12" s="6" t="s">
        <v>202</v>
      </c>
      <c r="H12" s="7">
        <v>305906.84000000003</v>
      </c>
      <c r="I12" s="8" t="str">
        <f t="shared" si="0"/>
        <v>N/A</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27806.854156980582</v>
      </c>
      <c r="B20" s="19">
        <f>COUNT(H3:H17)</f>
        <v>10</v>
      </c>
      <c r="C20" s="20">
        <f>IF(B20&lt;2,"N/A",(A20/D20))</f>
        <v>9.9025036678239003E-2</v>
      </c>
      <c r="D20" s="21">
        <f>ROUND(AVERAGE(H3:H17),2)</f>
        <v>280806.3</v>
      </c>
      <c r="E20" s="22" t="str">
        <f>IFERROR(ROUND(IF(B20&lt;2,"N/A",(IF(C20&lt;=25%,"N/A",AVERAGE(I3:I17)))),2),"N/A")</f>
        <v>N/A</v>
      </c>
      <c r="F20" s="22">
        <f>ROUND(MEDIAN(H3:H17),2)</f>
        <v>281078.14</v>
      </c>
      <c r="G20" s="23" t="str">
        <f>INDEX(G3:G17,MATCH(H20,H3:H17,0))</f>
        <v>PMGT</v>
      </c>
      <c r="H20" s="24">
        <f>MIN(H3:H17)</f>
        <v>244900</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280806.3</v>
      </c>
    </row>
    <row r="23" spans="1:11">
      <c r="B23" s="25"/>
      <c r="C23" s="25"/>
      <c r="D23" s="48"/>
      <c r="E23" s="48"/>
      <c r="F23" s="33"/>
      <c r="G23" s="4" t="s">
        <v>22</v>
      </c>
      <c r="H23" s="24">
        <f>ROUND(H22,2)*D3</f>
        <v>561612.6</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J2" sqref="J2"/>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156</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157</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158</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159</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160</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161</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162</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163</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164</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165</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5" sqref="G5"/>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34</v>
      </c>
      <c r="B2" s="2" t="s">
        <v>2</v>
      </c>
      <c r="C2" s="2" t="s">
        <v>3</v>
      </c>
      <c r="D2" s="2" t="s">
        <v>4</v>
      </c>
      <c r="E2" s="3" t="s">
        <v>5</v>
      </c>
      <c r="F2" s="3" t="s">
        <v>6</v>
      </c>
      <c r="G2" s="2" t="s">
        <v>7</v>
      </c>
      <c r="H2" s="4" t="s">
        <v>8</v>
      </c>
      <c r="I2" s="5" t="s">
        <v>9</v>
      </c>
    </row>
    <row r="3" spans="1:9" ht="12.75" customHeight="1">
      <c r="A3" s="50"/>
      <c r="B3" s="51" t="s">
        <v>35</v>
      </c>
      <c r="C3" s="52" t="s">
        <v>11</v>
      </c>
      <c r="D3" s="53">
        <v>2</v>
      </c>
      <c r="E3" s="54">
        <f>IF(C20&lt;=25%,D20,MIN(E20:F20))</f>
        <v>8222.33</v>
      </c>
      <c r="F3" s="54">
        <f>MIN(H3:H17)</f>
        <v>8000</v>
      </c>
      <c r="G3" s="6" t="s">
        <v>12</v>
      </c>
      <c r="H3" s="7">
        <v>8307</v>
      </c>
      <c r="I3" s="8" t="str">
        <f t="shared" ref="I3:I17" si="0">IF(H3="","",(IF($C$20&lt;25%,"N/A",IF(H3&lt;=($D$20+$A$20),H3,"Descartado"))))</f>
        <v>N/A</v>
      </c>
    </row>
    <row r="4" spans="1:9">
      <c r="A4" s="50"/>
      <c r="B4" s="51"/>
      <c r="C4" s="52"/>
      <c r="D4" s="53"/>
      <c r="E4" s="54"/>
      <c r="F4" s="54"/>
      <c r="G4" s="6" t="s">
        <v>13</v>
      </c>
      <c r="H4" s="7">
        <v>8360</v>
      </c>
      <c r="I4" s="8" t="str">
        <f t="shared" si="0"/>
        <v>N/A</v>
      </c>
    </row>
    <row r="5" spans="1:9">
      <c r="A5" s="50"/>
      <c r="B5" s="51"/>
      <c r="C5" s="52"/>
      <c r="D5" s="53"/>
      <c r="E5" s="54"/>
      <c r="F5" s="54"/>
      <c r="G5" s="6" t="s">
        <v>36</v>
      </c>
      <c r="H5" s="7">
        <v>8000</v>
      </c>
      <c r="I5" s="8" t="str">
        <f t="shared" si="0"/>
        <v>N/A</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194.36134732331254</v>
      </c>
      <c r="B20" s="19">
        <f>COUNT(H3:H17)</f>
        <v>3</v>
      </c>
      <c r="C20" s="20">
        <f>IF(B20&lt;2,"N/A",(A20/D20))</f>
        <v>2.3638232389518853E-2</v>
      </c>
      <c r="D20" s="21">
        <f>ROUND(AVERAGE(H3:H17),2)</f>
        <v>8222.33</v>
      </c>
      <c r="E20" s="22" t="str">
        <f>IFERROR(ROUND(IF(B20&lt;2,"N/A",(IF(C20&lt;=25%,"N/A",AVERAGE(I3:I17)))),2),"N/A")</f>
        <v>N/A</v>
      </c>
      <c r="F20" s="22">
        <f>ROUND(MEDIAN(H3:H17),2)</f>
        <v>8307</v>
      </c>
      <c r="G20" s="23" t="str">
        <f>INDEX(G3:G17,MATCH(H20,H3:H17,0))</f>
        <v>InLearn Educação Ltda</v>
      </c>
      <c r="H20" s="24">
        <f>MIN(H3:H17)</f>
        <v>8000</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8222.33</v>
      </c>
    </row>
    <row r="23" spans="1:11">
      <c r="B23" s="25"/>
      <c r="C23" s="25"/>
      <c r="D23" s="48"/>
      <c r="E23" s="48"/>
      <c r="F23" s="33"/>
      <c r="G23" s="4" t="s">
        <v>22</v>
      </c>
      <c r="H23" s="24">
        <f>ROUND(H22,2)*D3</f>
        <v>16444.66</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166</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167</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168</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169</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170</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2" sqref="A2"/>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171</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172</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173</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174</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175</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1" sqref="G11"/>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37</v>
      </c>
      <c r="B2" s="2" t="s">
        <v>2</v>
      </c>
      <c r="C2" s="2" t="s">
        <v>3</v>
      </c>
      <c r="D2" s="2" t="s">
        <v>4</v>
      </c>
      <c r="E2" s="3" t="s">
        <v>5</v>
      </c>
      <c r="F2" s="3" t="s">
        <v>6</v>
      </c>
      <c r="G2" s="2" t="s">
        <v>7</v>
      </c>
      <c r="H2" s="4" t="s">
        <v>8</v>
      </c>
      <c r="I2" s="5" t="s">
        <v>9</v>
      </c>
    </row>
    <row r="3" spans="1:9" ht="12.75" customHeight="1">
      <c r="A3" s="50"/>
      <c r="B3" s="51" t="s">
        <v>38</v>
      </c>
      <c r="C3" s="52" t="s">
        <v>11</v>
      </c>
      <c r="D3" s="53">
        <v>5</v>
      </c>
      <c r="E3" s="54">
        <f>IF(C20&lt;=25%,D20,MIN(E20:F20))</f>
        <v>20202.16</v>
      </c>
      <c r="F3" s="54">
        <f>MIN(H3:H17)</f>
        <v>17711.38</v>
      </c>
      <c r="G3" s="6" t="s">
        <v>12</v>
      </c>
      <c r="H3" s="7">
        <v>21098</v>
      </c>
      <c r="I3" s="8" t="str">
        <f t="shared" ref="I3:I17" si="0">IF(H3="","",(IF($C$20&lt;25%,"N/A",IF(H3&lt;=($D$20+$A$20),H3,"Descartado"))))</f>
        <v>N/A</v>
      </c>
    </row>
    <row r="4" spans="1:9">
      <c r="A4" s="50"/>
      <c r="B4" s="51"/>
      <c r="C4" s="52"/>
      <c r="D4" s="53"/>
      <c r="E4" s="54"/>
      <c r="F4" s="54"/>
      <c r="G4" s="6" t="s">
        <v>13</v>
      </c>
      <c r="H4" s="7">
        <v>21300</v>
      </c>
      <c r="I4" s="8" t="str">
        <f t="shared" si="0"/>
        <v>N/A</v>
      </c>
    </row>
    <row r="5" spans="1:9">
      <c r="A5" s="50"/>
      <c r="B5" s="51"/>
      <c r="C5" s="52"/>
      <c r="D5" s="53"/>
      <c r="E5" s="54"/>
      <c r="F5" s="54"/>
      <c r="G5" s="6" t="s">
        <v>36</v>
      </c>
      <c r="H5" s="7">
        <v>21200</v>
      </c>
      <c r="I5" s="8" t="str">
        <f t="shared" si="0"/>
        <v>N/A</v>
      </c>
    </row>
    <row r="6" spans="1:9">
      <c r="A6" s="50"/>
      <c r="B6" s="51"/>
      <c r="C6" s="52"/>
      <c r="D6" s="53"/>
      <c r="E6" s="54"/>
      <c r="F6" s="54"/>
      <c r="G6" s="6" t="s">
        <v>194</v>
      </c>
      <c r="H6" s="7">
        <v>17711.38</v>
      </c>
      <c r="I6" s="8" t="str">
        <f t="shared" si="0"/>
        <v>N/A</v>
      </c>
    </row>
    <row r="7" spans="1:9">
      <c r="A7" s="50"/>
      <c r="B7" s="51"/>
      <c r="C7" s="52"/>
      <c r="D7" s="53"/>
      <c r="E7" s="54"/>
      <c r="F7" s="54"/>
      <c r="G7" s="6" t="s">
        <v>195</v>
      </c>
      <c r="H7" s="7">
        <v>21017.13</v>
      </c>
      <c r="I7" s="8" t="str">
        <f t="shared" si="0"/>
        <v>N/A</v>
      </c>
    </row>
    <row r="8" spans="1:9">
      <c r="A8" s="50"/>
      <c r="B8" s="51"/>
      <c r="C8" s="52"/>
      <c r="D8" s="53"/>
      <c r="E8" s="54"/>
      <c r="F8" s="54"/>
      <c r="G8" s="6" t="s">
        <v>198</v>
      </c>
      <c r="H8" s="7">
        <v>17935</v>
      </c>
      <c r="I8" s="8" t="str">
        <f t="shared" si="0"/>
        <v>N/A</v>
      </c>
    </row>
    <row r="9" spans="1:9">
      <c r="A9" s="50"/>
      <c r="B9" s="51"/>
      <c r="C9" s="52"/>
      <c r="D9" s="53"/>
      <c r="E9" s="54"/>
      <c r="F9" s="54"/>
      <c r="G9" s="6" t="s">
        <v>200</v>
      </c>
      <c r="H9" s="7">
        <v>21153.58</v>
      </c>
      <c r="I9" s="8" t="str">
        <f t="shared" si="0"/>
        <v>N/A</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1628.7440062806795</v>
      </c>
      <c r="B20" s="19">
        <f>COUNT(H3:H17)</f>
        <v>7</v>
      </c>
      <c r="C20" s="20">
        <f>IF(B20&lt;2,"N/A",(A20/D20))</f>
        <v>8.062227040478244E-2</v>
      </c>
      <c r="D20" s="21">
        <f>ROUND(AVERAGE(H3:H17),2)</f>
        <v>20202.16</v>
      </c>
      <c r="E20" s="22" t="str">
        <f>IFERROR(ROUND(IF(B20&lt;2,"N/A",(IF(C20&lt;=25%,"N/A",AVERAGE(I3:I17)))),2),"N/A")</f>
        <v>N/A</v>
      </c>
      <c r="F20" s="22">
        <f>ROUND(MEDIAN(H3:H17),2)</f>
        <v>21098</v>
      </c>
      <c r="G20" s="23" t="str">
        <f>INDEX(G3:G17,MATCH(H20,H3:H17,0))</f>
        <v>07.880.897/0001-34 SUPORTE INFORMATICA SOLUCOES LTDA</v>
      </c>
      <c r="H20" s="24">
        <f>MIN(H3:H17)</f>
        <v>17711.38</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20202.16</v>
      </c>
    </row>
    <row r="23" spans="1:11">
      <c r="B23" s="25"/>
      <c r="C23" s="25"/>
      <c r="D23" s="48"/>
      <c r="E23" s="48"/>
      <c r="F23" s="33"/>
      <c r="G23" s="4" t="s">
        <v>22</v>
      </c>
      <c r="H23" s="24">
        <f>ROUND(H22,2)*D3</f>
        <v>101010.8</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176</v>
      </c>
      <c r="B2" s="2" t="s">
        <v>2</v>
      </c>
      <c r="C2" s="2" t="s">
        <v>3</v>
      </c>
      <c r="D2" s="2" t="s">
        <v>4</v>
      </c>
      <c r="E2" s="3" t="s">
        <v>5</v>
      </c>
      <c r="F2" s="3" t="s">
        <v>6</v>
      </c>
      <c r="G2" s="2" t="s">
        <v>7</v>
      </c>
      <c r="H2" s="4" t="s">
        <v>8</v>
      </c>
      <c r="I2" s="5" t="s">
        <v>9</v>
      </c>
    </row>
    <row r="3" spans="1:9" ht="12.75" customHeight="1">
      <c r="A3" s="50"/>
      <c r="B3" s="51" t="s">
        <v>148</v>
      </c>
      <c r="C3" s="52" t="s">
        <v>62</v>
      </c>
      <c r="D3" s="53">
        <v>10</v>
      </c>
      <c r="E3" s="54">
        <f>IF(C20&lt;=25%,D20,MIN(E20:F20))</f>
        <v>757.25</v>
      </c>
      <c r="F3" s="54">
        <f>MIN(H3:H17)</f>
        <v>697.5</v>
      </c>
      <c r="G3" s="6" t="s">
        <v>149</v>
      </c>
      <c r="H3" s="7">
        <v>697.5</v>
      </c>
      <c r="I3" s="8">
        <f t="shared" ref="I3:I17" si="0">IF(H3="","",(IF($C$20&lt;25%,"N/A",IF(H3&lt;=($D$20+$A$20),H3,"Descartado"))))</f>
        <v>697.5</v>
      </c>
    </row>
    <row r="4" spans="1:9">
      <c r="A4" s="50"/>
      <c r="B4" s="51"/>
      <c r="C4" s="52"/>
      <c r="D4" s="53"/>
      <c r="E4" s="54"/>
      <c r="F4" s="54"/>
      <c r="G4" s="6" t="s">
        <v>150</v>
      </c>
      <c r="H4" s="7">
        <v>817</v>
      </c>
      <c r="I4" s="8">
        <f t="shared" si="0"/>
        <v>817</v>
      </c>
    </row>
    <row r="5" spans="1:9">
      <c r="A5" s="50"/>
      <c r="B5" s="51"/>
      <c r="C5" s="52"/>
      <c r="D5" s="53"/>
      <c r="E5" s="54"/>
      <c r="F5" s="54"/>
      <c r="G5" s="6" t="s">
        <v>151</v>
      </c>
      <c r="H5" s="7">
        <v>1125</v>
      </c>
      <c r="I5" s="8" t="str">
        <f t="shared" si="0"/>
        <v>Descartado</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757.25</v>
      </c>
    </row>
    <row r="23" spans="1:11">
      <c r="B23" s="25"/>
      <c r="C23" s="25"/>
      <c r="D23" s="48"/>
      <c r="E23" s="48"/>
      <c r="F23" s="33"/>
      <c r="G23" s="4" t="s">
        <v>22</v>
      </c>
      <c r="H23" s="24">
        <f>ROUND(H22,2)*D3</f>
        <v>7572.5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17"/>
  <sheetViews>
    <sheetView tabSelected="1" view="pageBreakPreview" zoomScaleNormal="100" workbookViewId="0">
      <selection activeCell="A9" sqref="A9:F17"/>
    </sheetView>
  </sheetViews>
  <sheetFormatPr defaultColWidth="9.140625" defaultRowHeight="12.75"/>
  <cols>
    <col min="1" max="1" width="9.140625" style="34"/>
    <col min="2" max="2" width="25.42578125" style="34" customWidth="1"/>
    <col min="3" max="5" width="13.28515625" style="34" customWidth="1"/>
    <col min="6" max="6" width="15.5703125" style="34" customWidth="1"/>
    <col min="7" max="14" width="9.140625" style="35"/>
    <col min="15" max="1024" width="9.140625" style="34"/>
  </cols>
  <sheetData>
    <row r="1" spans="1:7" ht="12.75" customHeight="1">
      <c r="A1" s="36"/>
      <c r="B1" s="36"/>
      <c r="C1" s="36"/>
      <c r="D1" s="36"/>
      <c r="E1" s="36"/>
      <c r="F1" s="36"/>
    </row>
    <row r="2" spans="1:7" ht="12.75" customHeight="1">
      <c r="A2" s="36"/>
      <c r="B2" s="36"/>
      <c r="C2" s="36"/>
      <c r="D2" s="36"/>
      <c r="E2" s="36"/>
      <c r="F2" s="36"/>
    </row>
    <row r="3" spans="1:7" ht="12.75" customHeight="1">
      <c r="A3" s="36"/>
      <c r="B3" s="36"/>
      <c r="C3" s="36"/>
      <c r="D3" s="36"/>
      <c r="E3" s="36"/>
      <c r="F3" s="36"/>
    </row>
    <row r="4" spans="1:7" ht="12.75" customHeight="1">
      <c r="A4" s="36"/>
      <c r="B4" s="36"/>
      <c r="C4" s="36"/>
      <c r="D4" s="36"/>
      <c r="E4" s="36"/>
      <c r="F4" s="36"/>
    </row>
    <row r="5" spans="1:7" ht="12.75" customHeight="1">
      <c r="A5" s="56" t="s">
        <v>177</v>
      </c>
      <c r="B5" s="56"/>
      <c r="C5" s="56"/>
      <c r="D5" s="56"/>
      <c r="E5" s="56"/>
      <c r="F5" s="56"/>
    </row>
    <row r="6" spans="1:7" ht="12.75" customHeight="1">
      <c r="A6" s="56" t="s">
        <v>178</v>
      </c>
      <c r="B6" s="56"/>
      <c r="C6" s="56"/>
      <c r="D6" s="56"/>
      <c r="E6" s="56"/>
      <c r="F6" s="56"/>
    </row>
    <row r="7" spans="1:7" ht="12.75" customHeight="1">
      <c r="A7" s="37"/>
      <c r="B7" s="37"/>
      <c r="C7" s="37"/>
      <c r="D7" s="37"/>
      <c r="E7" s="37"/>
      <c r="F7" s="37"/>
    </row>
    <row r="8" spans="1:7" ht="15.75" customHeight="1">
      <c r="A8" s="57" t="s">
        <v>179</v>
      </c>
      <c r="B8" s="57"/>
      <c r="C8" s="57"/>
      <c r="D8" s="57"/>
      <c r="E8" s="57"/>
      <c r="F8" s="57"/>
    </row>
    <row r="9" spans="1:7" ht="25.5">
      <c r="A9" s="38" t="s">
        <v>180</v>
      </c>
      <c r="B9" s="38" t="s">
        <v>181</v>
      </c>
      <c r="C9" s="38" t="s">
        <v>182</v>
      </c>
      <c r="D9" s="38" t="s">
        <v>183</v>
      </c>
      <c r="E9" s="38" t="s">
        <v>184</v>
      </c>
      <c r="F9" s="38" t="s">
        <v>185</v>
      </c>
    </row>
    <row r="10" spans="1:7" ht="54.75" customHeight="1">
      <c r="A10" s="39">
        <v>1</v>
      </c>
      <c r="B10" s="40" t="str">
        <f>Item1!B3</f>
        <v xml:space="preserve">RH00002F5 Red Hat Enterprise Linux for Virtual Datacenters, Standard </v>
      </c>
      <c r="C10" s="39" t="str">
        <f>Item1!C3</f>
        <v>assinatura</v>
      </c>
      <c r="D10" s="39">
        <f>Item1!D3</f>
        <v>8</v>
      </c>
      <c r="E10" s="41">
        <f>Item1!E3</f>
        <v>65919.740000000005</v>
      </c>
      <c r="F10" s="41">
        <f t="shared" ref="F10:F16" si="0">(ROUND(E10,2)*D10)</f>
        <v>527357.92000000004</v>
      </c>
      <c r="G10" s="42"/>
    </row>
    <row r="11" spans="1:7" ht="50.25" customHeight="1">
      <c r="A11" s="39">
        <v>2</v>
      </c>
      <c r="B11" s="40" t="str">
        <f>Item2!B3</f>
        <v>RH00004F5 Red Hat Enterprise Linux Server, Standard (Physical or Virtual Nodes)</v>
      </c>
      <c r="C11" s="39" t="str">
        <f>Item2!C3</f>
        <v>assinatura</v>
      </c>
      <c r="D11" s="39">
        <f>Item2!D3</f>
        <v>4</v>
      </c>
      <c r="E11" s="41">
        <f>Item2!E3</f>
        <v>21553.54</v>
      </c>
      <c r="F11" s="41">
        <f t="shared" si="0"/>
        <v>86214.16</v>
      </c>
    </row>
    <row r="12" spans="1:7" ht="35.25" customHeight="1">
      <c r="A12" s="39">
        <v>3</v>
      </c>
      <c r="B12" s="40" t="str">
        <f>Item3!B3</f>
        <v>MW00278F5 Red Hat Runtimes, Standard (16 Cores or 32 vCPUs)</v>
      </c>
      <c r="C12" s="39" t="str">
        <f>Item3!C3</f>
        <v>assinatura</v>
      </c>
      <c r="D12" s="39">
        <f>Item3!D3</f>
        <v>2</v>
      </c>
      <c r="E12" s="41">
        <f>Item3!E3</f>
        <v>280806.3</v>
      </c>
      <c r="F12" s="41">
        <f t="shared" si="0"/>
        <v>561612.6</v>
      </c>
    </row>
    <row r="13" spans="1:7" ht="41.25" customHeight="1">
      <c r="A13" s="39">
        <v>4</v>
      </c>
      <c r="B13" s="40" t="str">
        <f>Item4!B3</f>
        <v>RH200 RHCSA Rapid Track course with exam</v>
      </c>
      <c r="C13" s="39" t="str">
        <f>Item4!C3</f>
        <v>assinatura</v>
      </c>
      <c r="D13" s="39">
        <f>Item4!D3</f>
        <v>2</v>
      </c>
      <c r="E13" s="41">
        <f>Item4!E3</f>
        <v>8222.33</v>
      </c>
      <c r="F13" s="41">
        <f t="shared" si="0"/>
        <v>16444.66</v>
      </c>
    </row>
    <row r="14" spans="1:7" ht="32.25" customHeight="1">
      <c r="A14" s="39">
        <v>5</v>
      </c>
      <c r="B14" s="40" t="str">
        <f>Item5!B3</f>
        <v>LS220 Red Hat Learning Subscription Standard</v>
      </c>
      <c r="C14" s="39" t="str">
        <f>Item5!C3</f>
        <v>assinatura</v>
      </c>
      <c r="D14" s="39">
        <f>Item5!D3</f>
        <v>5</v>
      </c>
      <c r="E14" s="41">
        <f>Item5!E3</f>
        <v>20202.16</v>
      </c>
      <c r="F14" s="41">
        <f t="shared" si="0"/>
        <v>101010.8</v>
      </c>
    </row>
    <row r="15" spans="1:7" ht="33" customHeight="1">
      <c r="A15" s="39">
        <v>6</v>
      </c>
      <c r="B15" s="40" t="str">
        <f>Item6!B3</f>
        <v>LS330 Red Hat Learning Subscription for Developers</v>
      </c>
      <c r="C15" s="39" t="str">
        <f>Item6!C3</f>
        <v>assinatura</v>
      </c>
      <c r="D15" s="39">
        <f>Item6!D3</f>
        <v>25</v>
      </c>
      <c r="E15" s="41">
        <f>Item6!E3</f>
        <v>10477.33</v>
      </c>
      <c r="F15" s="41">
        <f t="shared" si="0"/>
        <v>261933.25</v>
      </c>
    </row>
    <row r="16" spans="1:7" ht="44.25" customHeight="1">
      <c r="A16" s="39">
        <v>7</v>
      </c>
      <c r="B16" s="40" t="str">
        <f>Item7!B3</f>
        <v>MCT0032US Red Hat Training Unit</v>
      </c>
      <c r="C16" s="39" t="str">
        <f>Item7!C3</f>
        <v>assinatura</v>
      </c>
      <c r="D16" s="39">
        <f>Item7!D3</f>
        <v>25</v>
      </c>
      <c r="E16" s="41">
        <f>Item7!E3</f>
        <v>1504.17</v>
      </c>
      <c r="F16" s="41">
        <f t="shared" si="0"/>
        <v>37604.25</v>
      </c>
    </row>
    <row r="17" spans="1:6" ht="15.75" customHeight="1">
      <c r="A17" s="43"/>
      <c r="B17" s="43"/>
      <c r="C17" s="57" t="s">
        <v>186</v>
      </c>
      <c r="D17" s="57"/>
      <c r="E17" s="57"/>
      <c r="F17" s="44">
        <f>SUM(F10:F16)</f>
        <v>1592177.6400000001</v>
      </c>
    </row>
  </sheetData>
  <mergeCells count="4">
    <mergeCell ref="A5:F5"/>
    <mergeCell ref="A6:F6"/>
    <mergeCell ref="A8:F8"/>
    <mergeCell ref="C17:E17"/>
  </mergeCells>
  <pageMargins left="0.51180555555555496" right="0.51180555555555496" top="0.78749999999999998" bottom="0.95416666666666705" header="0.51180555555555496" footer="0.78749999999999998"/>
  <pageSetup paperSize="9" firstPageNumber="0" fitToHeight="0" orientation="landscape" horizontalDpi="300" verticalDpi="300" r:id="rId1"/>
  <headerFooter>
    <oddFooter>&amp;L&amp;"Calibri,Regular"&amp;12Estimativa em &amp;D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H6" sqref="H6"/>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39</v>
      </c>
      <c r="B2" s="2" t="s">
        <v>2</v>
      </c>
      <c r="C2" s="2" t="s">
        <v>3</v>
      </c>
      <c r="D2" s="2" t="s">
        <v>4</v>
      </c>
      <c r="E2" s="3" t="s">
        <v>5</v>
      </c>
      <c r="F2" s="3" t="s">
        <v>6</v>
      </c>
      <c r="G2" s="2" t="s">
        <v>7</v>
      </c>
      <c r="H2" s="4" t="s">
        <v>8</v>
      </c>
      <c r="I2" s="5" t="s">
        <v>9</v>
      </c>
    </row>
    <row r="3" spans="1:9" ht="12.75" customHeight="1">
      <c r="A3" s="50"/>
      <c r="B3" s="51" t="s">
        <v>40</v>
      </c>
      <c r="C3" s="52" t="s">
        <v>11</v>
      </c>
      <c r="D3" s="53">
        <v>25</v>
      </c>
      <c r="E3" s="54">
        <f>IF(C20&lt;=25%,D20,MIN(E20:F20))</f>
        <v>10477.33</v>
      </c>
      <c r="F3" s="54">
        <f>MIN(H3:H17)</f>
        <v>10063</v>
      </c>
      <c r="G3" s="6" t="s">
        <v>12</v>
      </c>
      <c r="H3" s="7">
        <v>10769</v>
      </c>
      <c r="I3" s="8" t="str">
        <f t="shared" ref="I3:I17" si="0">IF(H3="","",(IF($C$20&lt;25%,"N/A",IF(H3&lt;=($D$20+$A$20),H3,"Descartado"))))</f>
        <v>N/A</v>
      </c>
    </row>
    <row r="4" spans="1:9">
      <c r="A4" s="50"/>
      <c r="B4" s="51"/>
      <c r="C4" s="52"/>
      <c r="D4" s="53"/>
      <c r="E4" s="54"/>
      <c r="F4" s="54"/>
      <c r="G4" s="6" t="s">
        <v>13</v>
      </c>
      <c r="H4" s="7">
        <v>10063</v>
      </c>
      <c r="I4" s="8" t="str">
        <f t="shared" si="0"/>
        <v>N/A</v>
      </c>
    </row>
    <row r="5" spans="1:9">
      <c r="A5" s="50"/>
      <c r="B5" s="51"/>
      <c r="C5" s="52"/>
      <c r="D5" s="53"/>
      <c r="E5" s="54"/>
      <c r="F5" s="54"/>
      <c r="G5" s="6" t="s">
        <v>36</v>
      </c>
      <c r="H5" s="7">
        <v>10600</v>
      </c>
      <c r="I5" s="8" t="str">
        <f t="shared" si="0"/>
        <v>N/A</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368.63848596332605</v>
      </c>
      <c r="B20" s="19">
        <f>COUNT(H3:H17)</f>
        <v>3</v>
      </c>
      <c r="C20" s="20">
        <f>IF(B20&lt;2,"N/A",(A20/D20))</f>
        <v>3.5184392012404503E-2</v>
      </c>
      <c r="D20" s="21">
        <f>ROUND(AVERAGE(H3:H17),2)</f>
        <v>10477.33</v>
      </c>
      <c r="E20" s="22" t="str">
        <f>IFERROR(ROUND(IF(B20&lt;2,"N/A",(IF(C20&lt;=25%,"N/A",AVERAGE(I3:I17)))),2),"N/A")</f>
        <v>N/A</v>
      </c>
      <c r="F20" s="22">
        <f>ROUND(MEDIAN(H3:H17),2)</f>
        <v>10600</v>
      </c>
      <c r="G20" s="23" t="str">
        <f>INDEX(G3:G17,MATCH(H20,H3:H17,0))</f>
        <v>PMGT</v>
      </c>
      <c r="H20" s="24">
        <f>MIN(H3:H17)</f>
        <v>10063</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10477.33</v>
      </c>
    </row>
    <row r="23" spans="1:11">
      <c r="B23" s="25"/>
      <c r="C23" s="25"/>
      <c r="D23" s="48"/>
      <c r="E23" s="48"/>
      <c r="F23" s="33"/>
      <c r="G23" s="4" t="s">
        <v>22</v>
      </c>
      <c r="H23" s="24">
        <f>ROUND(H22,2)*D3</f>
        <v>261933.25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9" sqref="G9"/>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41</v>
      </c>
      <c r="B2" s="2" t="s">
        <v>2</v>
      </c>
      <c r="C2" s="2" t="s">
        <v>3</v>
      </c>
      <c r="D2" s="2" t="s">
        <v>4</v>
      </c>
      <c r="E2" s="3" t="s">
        <v>5</v>
      </c>
      <c r="F2" s="3" t="s">
        <v>6</v>
      </c>
      <c r="G2" s="2" t="s">
        <v>7</v>
      </c>
      <c r="H2" s="4" t="s">
        <v>8</v>
      </c>
      <c r="I2" s="5" t="s">
        <v>9</v>
      </c>
    </row>
    <row r="3" spans="1:9" ht="12.75" customHeight="1">
      <c r="A3" s="50"/>
      <c r="B3" s="51" t="s">
        <v>42</v>
      </c>
      <c r="C3" s="52" t="s">
        <v>11</v>
      </c>
      <c r="D3" s="53">
        <v>25</v>
      </c>
      <c r="E3" s="54">
        <f>IF(C20&lt;=25%,D20,MIN(E20:F20))</f>
        <v>1504.17</v>
      </c>
      <c r="F3" s="54">
        <f>MIN(H3:H17)</f>
        <v>1350</v>
      </c>
      <c r="G3" s="6" t="s">
        <v>12</v>
      </c>
      <c r="H3" s="7">
        <v>1538</v>
      </c>
      <c r="I3" s="8" t="str">
        <f t="shared" ref="I3:I17" si="0">IF(H3="","",(IF($C$20&lt;25%,"N/A",IF(H3&lt;=($D$20+$A$20),H3,"Descartado"))))</f>
        <v>N/A</v>
      </c>
    </row>
    <row r="4" spans="1:9">
      <c r="A4" s="50"/>
      <c r="B4" s="51"/>
      <c r="C4" s="52"/>
      <c r="D4" s="53"/>
      <c r="E4" s="54"/>
      <c r="F4" s="54"/>
      <c r="G4" s="6" t="s">
        <v>13</v>
      </c>
      <c r="H4" s="7">
        <v>1903</v>
      </c>
      <c r="I4" s="8" t="str">
        <f t="shared" si="0"/>
        <v>N/A</v>
      </c>
    </row>
    <row r="5" spans="1:9">
      <c r="A5" s="50"/>
      <c r="B5" s="51"/>
      <c r="C5" s="52"/>
      <c r="D5" s="53"/>
      <c r="E5" s="54"/>
      <c r="F5" s="54"/>
      <c r="G5" s="6" t="s">
        <v>36</v>
      </c>
      <c r="H5" s="7">
        <v>1520</v>
      </c>
      <c r="I5" s="8" t="str">
        <f t="shared" si="0"/>
        <v>N/A</v>
      </c>
    </row>
    <row r="6" spans="1:9">
      <c r="A6" s="50"/>
      <c r="B6" s="51"/>
      <c r="C6" s="52"/>
      <c r="D6" s="53"/>
      <c r="E6" s="54"/>
      <c r="F6" s="54"/>
      <c r="G6" s="6" t="s">
        <v>187</v>
      </c>
      <c r="H6" s="7">
        <f>1350000/1000</f>
        <v>1350</v>
      </c>
      <c r="I6" s="8" t="str">
        <f t="shared" si="0"/>
        <v>N/A</v>
      </c>
    </row>
    <row r="7" spans="1:9">
      <c r="A7" s="50"/>
      <c r="B7" s="51"/>
      <c r="C7" s="52"/>
      <c r="D7" s="53"/>
      <c r="E7" s="54"/>
      <c r="F7" s="54"/>
      <c r="G7" s="6" t="s">
        <v>188</v>
      </c>
      <c r="H7" s="7">
        <v>1357</v>
      </c>
      <c r="I7" s="8" t="str">
        <f t="shared" si="0"/>
        <v>N/A</v>
      </c>
    </row>
    <row r="8" spans="1:9">
      <c r="A8" s="50"/>
      <c r="B8" s="51"/>
      <c r="C8" s="52"/>
      <c r="D8" s="53"/>
      <c r="E8" s="54"/>
      <c r="F8" s="54"/>
      <c r="G8" s="6" t="s">
        <v>189</v>
      </c>
      <c r="H8" s="7">
        <v>1357</v>
      </c>
      <c r="I8" s="8" t="str">
        <f t="shared" si="0"/>
        <v>N/A</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213.32924475248768</v>
      </c>
      <c r="B20" s="19">
        <f>COUNT(H3:H17)</f>
        <v>6</v>
      </c>
      <c r="C20" s="20">
        <f>IF(B20&lt;2,"N/A",(A20/D20))</f>
        <v>0.14182522238343251</v>
      </c>
      <c r="D20" s="21">
        <f>ROUND(AVERAGE(H3:H17),2)</f>
        <v>1504.17</v>
      </c>
      <c r="E20" s="22" t="str">
        <f>IFERROR(ROUND(IF(B20&lt;2,"N/A",(IF(C20&lt;=25%,"N/A",AVERAGE(I3:I17)))),2),"N/A")</f>
        <v>N/A</v>
      </c>
      <c r="F20" s="22">
        <f>ROUND(MEDIAN(H3:H17),2)</f>
        <v>1438.5</v>
      </c>
      <c r="G20" s="23" t="str">
        <f>INDEX(G3:G17,MATCH(H20,H3:H17,0))</f>
        <v>Tech Lead Servicos e Comercio de Informatica Ltda</v>
      </c>
      <c r="H20" s="24">
        <f>MIN(H3:H17)</f>
        <v>1350</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1504.17</v>
      </c>
    </row>
    <row r="23" spans="1:11">
      <c r="B23" s="25"/>
      <c r="C23" s="25"/>
      <c r="D23" s="48"/>
      <c r="E23" s="48"/>
      <c r="F23" s="33"/>
      <c r="G23" s="4" t="s">
        <v>22</v>
      </c>
      <c r="H23" s="24">
        <f>ROUND(H22,2)*D3</f>
        <v>37604.25</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6" sqref="G6"/>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43</v>
      </c>
      <c r="B2" s="2" t="s">
        <v>2</v>
      </c>
      <c r="C2" s="2" t="s">
        <v>3</v>
      </c>
      <c r="D2" s="2" t="s">
        <v>4</v>
      </c>
      <c r="E2" s="3" t="s">
        <v>5</v>
      </c>
      <c r="F2" s="3" t="s">
        <v>6</v>
      </c>
      <c r="G2" s="2" t="s">
        <v>7</v>
      </c>
      <c r="H2" s="4" t="s">
        <v>8</v>
      </c>
      <c r="I2" s="5" t="s">
        <v>9</v>
      </c>
    </row>
    <row r="3" spans="1:9" ht="12.75" customHeight="1">
      <c r="A3" s="50"/>
      <c r="B3" s="51" t="s">
        <v>44</v>
      </c>
      <c r="C3" s="52" t="s">
        <v>45</v>
      </c>
      <c r="D3" s="53">
        <v>500</v>
      </c>
      <c r="E3" s="54">
        <f>IF(C20&lt;=25%,D20,MIN(E20:F20))</f>
        <v>4.58</v>
      </c>
      <c r="F3" s="54">
        <f>MIN(H3:H17)</f>
        <v>3.95</v>
      </c>
      <c r="G3" s="6" t="s">
        <v>46</v>
      </c>
      <c r="H3" s="7">
        <v>3.95</v>
      </c>
      <c r="I3" s="8" t="str">
        <f t="shared" ref="I3:I17" si="0">IF(H3="","",(IF($C$20&lt;25%,"N/A",IF(H3&lt;=($D$20+$A$20),H3,"Descartado"))))</f>
        <v>N/A</v>
      </c>
    </row>
    <row r="4" spans="1:9">
      <c r="A4" s="50"/>
      <c r="B4" s="51"/>
      <c r="C4" s="52"/>
      <c r="D4" s="53"/>
      <c r="E4" s="54"/>
      <c r="F4" s="54"/>
      <c r="G4" s="6" t="s">
        <v>47</v>
      </c>
      <c r="H4" s="7">
        <v>4.3099999999999996</v>
      </c>
      <c r="I4" s="8" t="str">
        <f t="shared" si="0"/>
        <v>N/A</v>
      </c>
    </row>
    <row r="5" spans="1:9">
      <c r="A5" s="50"/>
      <c r="B5" s="51"/>
      <c r="C5" s="52"/>
      <c r="D5" s="53"/>
      <c r="E5" s="54"/>
      <c r="F5" s="54"/>
      <c r="G5" s="6" t="s">
        <v>48</v>
      </c>
      <c r="H5" s="7">
        <v>5.49</v>
      </c>
      <c r="I5" s="8" t="str">
        <f t="shared" si="0"/>
        <v>N/A</v>
      </c>
    </row>
    <row r="6" spans="1:9">
      <c r="A6" s="50"/>
      <c r="B6" s="51"/>
      <c r="C6" s="52"/>
      <c r="D6" s="53"/>
      <c r="E6" s="54"/>
      <c r="F6" s="54"/>
      <c r="G6" s="6"/>
      <c r="H6" s="7"/>
      <c r="I6" s="8" t="str">
        <f t="shared" si="0"/>
        <v/>
      </c>
    </row>
    <row r="7" spans="1:9">
      <c r="A7" s="50"/>
      <c r="B7" s="51"/>
      <c r="C7" s="52"/>
      <c r="D7" s="53"/>
      <c r="E7" s="54"/>
      <c r="F7" s="54"/>
      <c r="G7" s="6"/>
      <c r="H7" s="7"/>
      <c r="I7" s="8" t="str">
        <f t="shared" si="0"/>
        <v/>
      </c>
    </row>
    <row r="8" spans="1:9">
      <c r="A8" s="50"/>
      <c r="B8" s="51"/>
      <c r="C8" s="52"/>
      <c r="D8" s="53"/>
      <c r="E8" s="54"/>
      <c r="F8" s="54"/>
      <c r="G8" s="6"/>
      <c r="H8" s="7"/>
      <c r="I8" s="8" t="str">
        <f t="shared" si="0"/>
        <v/>
      </c>
    </row>
    <row r="9" spans="1:9">
      <c r="A9" s="50"/>
      <c r="B9" s="51"/>
      <c r="C9" s="52"/>
      <c r="D9" s="53"/>
      <c r="E9" s="54"/>
      <c r="F9" s="54"/>
      <c r="G9" s="6"/>
      <c r="H9" s="7"/>
      <c r="I9" s="8" t="str">
        <f t="shared" si="0"/>
        <v/>
      </c>
    </row>
    <row r="10" spans="1:9">
      <c r="A10" s="50"/>
      <c r="B10" s="51"/>
      <c r="C10" s="52"/>
      <c r="D10" s="53"/>
      <c r="E10" s="54"/>
      <c r="F10" s="54"/>
      <c r="G10" s="6"/>
      <c r="H10" s="7"/>
      <c r="I10" s="8" t="str">
        <f t="shared" si="0"/>
        <v/>
      </c>
    </row>
    <row r="11" spans="1:9">
      <c r="A11" s="50"/>
      <c r="B11" s="51"/>
      <c r="C11" s="52"/>
      <c r="D11" s="53"/>
      <c r="E11" s="54"/>
      <c r="F11" s="54"/>
      <c r="G11" s="6"/>
      <c r="H11" s="7"/>
      <c r="I11" s="8" t="str">
        <f t="shared" si="0"/>
        <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0.80556398463023138</v>
      </c>
      <c r="B20" s="19">
        <f>COUNT(H3:H17)</f>
        <v>3</v>
      </c>
      <c r="C20" s="20">
        <f>IF(B20&lt;2,"N/A",(A20/D20))</f>
        <v>0.17588733288869682</v>
      </c>
      <c r="D20" s="21">
        <f>ROUND(AVERAGE(H3:H17),2)</f>
        <v>4.58</v>
      </c>
      <c r="E20" s="22" t="str">
        <f>IFERROR(ROUND(IF(B20&lt;2,"N/A",(IF(C20&lt;=25%,"N/A",AVERAGE(I3:I17)))),2),"N/A")</f>
        <v>N/A</v>
      </c>
      <c r="F20" s="22">
        <f>ROUND(MEDIAN(H3:H17),2)</f>
        <v>4.3099999999999996</v>
      </c>
      <c r="G20" s="23" t="str">
        <f>INDEX(G3:G17,MATCH(H20,H3:H17,0))</f>
        <v>ANA PAULA CRUZ DOS SANTOS 15160384871</v>
      </c>
      <c r="H20" s="24">
        <f>MIN(H3:H17)</f>
        <v>3.95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4.58</v>
      </c>
    </row>
    <row r="23" spans="1:11">
      <c r="B23" s="25"/>
      <c r="C23" s="25"/>
      <c r="D23" s="48"/>
      <c r="E23" s="48"/>
      <c r="F23" s="33"/>
      <c r="G23" s="4" t="s">
        <v>22</v>
      </c>
      <c r="H23" s="24">
        <f>ROUND(H22,2)*D3</f>
        <v>2290</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2" sqref="G12"/>
    </sheetView>
  </sheetViews>
  <sheetFormatPr defaultColWidth="9.140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c r="A1" s="49" t="s">
        <v>0</v>
      </c>
      <c r="B1" s="49"/>
      <c r="C1" s="49"/>
      <c r="D1" s="49"/>
      <c r="E1" s="49"/>
      <c r="F1" s="49"/>
      <c r="G1" s="49"/>
      <c r="H1" s="49"/>
      <c r="I1" s="49"/>
    </row>
    <row r="2" spans="1:9" ht="25.5">
      <c r="A2" s="50" t="s">
        <v>49</v>
      </c>
      <c r="B2" s="2" t="s">
        <v>2</v>
      </c>
      <c r="C2" s="2" t="s">
        <v>3</v>
      </c>
      <c r="D2" s="2" t="s">
        <v>4</v>
      </c>
      <c r="E2" s="3" t="s">
        <v>5</v>
      </c>
      <c r="F2" s="3" t="s">
        <v>6</v>
      </c>
      <c r="G2" s="2" t="s">
        <v>7</v>
      </c>
      <c r="H2" s="4" t="s">
        <v>8</v>
      </c>
      <c r="I2" s="5" t="s">
        <v>9</v>
      </c>
    </row>
    <row r="3" spans="1:9" ht="12.75" customHeight="1">
      <c r="A3" s="50"/>
      <c r="B3" s="51" t="s">
        <v>50</v>
      </c>
      <c r="C3" s="52" t="s">
        <v>45</v>
      </c>
      <c r="D3" s="53">
        <v>500</v>
      </c>
      <c r="E3" s="54">
        <f>IF(C20&lt;=25%,D20,MIN(E20:F20))</f>
        <v>12.04</v>
      </c>
      <c r="F3" s="54">
        <f>MIN(H3:H17)</f>
        <v>6.45</v>
      </c>
      <c r="G3" s="6" t="s">
        <v>51</v>
      </c>
      <c r="H3" s="7">
        <v>6.45</v>
      </c>
      <c r="I3" s="8">
        <f t="shared" ref="I3:I17" si="0">IF(H3="","",(IF($C$20&lt;25%,"N/A",IF(H3&lt;=($D$20+$A$20),H3,"Descartado"))))</f>
        <v>6.45</v>
      </c>
    </row>
    <row r="4" spans="1:9">
      <c r="A4" s="50"/>
      <c r="B4" s="51"/>
      <c r="C4" s="52"/>
      <c r="D4" s="53"/>
      <c r="E4" s="54"/>
      <c r="F4" s="54"/>
      <c r="G4" s="6" t="s">
        <v>52</v>
      </c>
      <c r="H4" s="7">
        <v>8.15</v>
      </c>
      <c r="I4" s="8">
        <f t="shared" si="0"/>
        <v>8.15</v>
      </c>
    </row>
    <row r="5" spans="1:9">
      <c r="A5" s="50"/>
      <c r="B5" s="51"/>
      <c r="C5" s="52"/>
      <c r="D5" s="53"/>
      <c r="E5" s="54"/>
      <c r="F5" s="54"/>
      <c r="G5" s="6" t="s">
        <v>53</v>
      </c>
      <c r="H5" s="7">
        <v>12.48</v>
      </c>
      <c r="I5" s="8">
        <f t="shared" si="0"/>
        <v>12.48</v>
      </c>
    </row>
    <row r="6" spans="1:9">
      <c r="A6" s="50"/>
      <c r="B6" s="51"/>
      <c r="C6" s="52"/>
      <c r="D6" s="53"/>
      <c r="E6" s="54"/>
      <c r="F6" s="54"/>
      <c r="G6" s="6" t="s">
        <v>54</v>
      </c>
      <c r="H6" s="7">
        <v>13.8</v>
      </c>
      <c r="I6" s="8">
        <f t="shared" si="0"/>
        <v>13.8</v>
      </c>
    </row>
    <row r="7" spans="1:9">
      <c r="A7" s="50"/>
      <c r="B7" s="51"/>
      <c r="C7" s="52"/>
      <c r="D7" s="53"/>
      <c r="E7" s="54"/>
      <c r="F7" s="54"/>
      <c r="G7" s="6" t="s">
        <v>55</v>
      </c>
      <c r="H7" s="7">
        <v>14.06</v>
      </c>
      <c r="I7" s="8">
        <f t="shared" si="0"/>
        <v>14.06</v>
      </c>
    </row>
    <row r="8" spans="1:9">
      <c r="A8" s="50"/>
      <c r="B8" s="51"/>
      <c r="C8" s="52"/>
      <c r="D8" s="53"/>
      <c r="E8" s="54"/>
      <c r="F8" s="54"/>
      <c r="G8" s="6" t="s">
        <v>56</v>
      </c>
      <c r="H8" s="7">
        <v>14.47</v>
      </c>
      <c r="I8" s="8">
        <f t="shared" si="0"/>
        <v>14.47</v>
      </c>
    </row>
    <row r="9" spans="1:9">
      <c r="A9" s="50"/>
      <c r="B9" s="51"/>
      <c r="C9" s="52"/>
      <c r="D9" s="53"/>
      <c r="E9" s="54"/>
      <c r="F9" s="54"/>
      <c r="G9" s="6" t="s">
        <v>57</v>
      </c>
      <c r="H9" s="7">
        <v>14.9</v>
      </c>
      <c r="I9" s="8">
        <f t="shared" si="0"/>
        <v>14.9</v>
      </c>
    </row>
    <row r="10" spans="1:9">
      <c r="A10" s="50"/>
      <c r="B10" s="51"/>
      <c r="C10" s="52"/>
      <c r="D10" s="53"/>
      <c r="E10" s="54"/>
      <c r="F10" s="54"/>
      <c r="G10" s="6" t="s">
        <v>58</v>
      </c>
      <c r="H10" s="7">
        <v>61.9</v>
      </c>
      <c r="I10" s="8" t="str">
        <f t="shared" si="0"/>
        <v>Descartado</v>
      </c>
    </row>
    <row r="11" spans="1:9">
      <c r="A11" s="50"/>
      <c r="B11" s="51"/>
      <c r="C11" s="52"/>
      <c r="D11" s="53"/>
      <c r="E11" s="54"/>
      <c r="F11" s="54"/>
      <c r="G11" s="6" t="s">
        <v>59</v>
      </c>
      <c r="H11" s="7">
        <v>95.6</v>
      </c>
      <c r="I11" s="8" t="str">
        <f t="shared" si="0"/>
        <v>Descartado</v>
      </c>
    </row>
    <row r="12" spans="1:9">
      <c r="A12" s="50"/>
      <c r="B12" s="51"/>
      <c r="C12" s="52"/>
      <c r="D12" s="53"/>
      <c r="E12" s="54"/>
      <c r="F12" s="54"/>
      <c r="G12" s="6"/>
      <c r="H12" s="7"/>
      <c r="I12" s="8" t="str">
        <f t="shared" si="0"/>
        <v/>
      </c>
    </row>
    <row r="13" spans="1:9">
      <c r="A13" s="50"/>
      <c r="B13" s="51"/>
      <c r="C13" s="52"/>
      <c r="D13" s="53"/>
      <c r="E13" s="54"/>
      <c r="F13" s="54"/>
      <c r="G13" s="6"/>
      <c r="H13" s="7"/>
      <c r="I13" s="8" t="str">
        <f t="shared" si="0"/>
        <v/>
      </c>
    </row>
    <row r="14" spans="1:9">
      <c r="A14" s="50"/>
      <c r="B14" s="51"/>
      <c r="C14" s="52"/>
      <c r="D14" s="53"/>
      <c r="E14" s="54"/>
      <c r="F14" s="54"/>
      <c r="G14" s="6"/>
      <c r="H14" s="7"/>
      <c r="I14" s="8" t="str">
        <f t="shared" si="0"/>
        <v/>
      </c>
    </row>
    <row r="15" spans="1:9">
      <c r="A15" s="50"/>
      <c r="B15" s="51"/>
      <c r="C15" s="52"/>
      <c r="D15" s="53"/>
      <c r="E15" s="54"/>
      <c r="F15" s="54"/>
      <c r="G15" s="6"/>
      <c r="H15" s="7"/>
      <c r="I15" s="8" t="str">
        <f t="shared" si="0"/>
        <v/>
      </c>
    </row>
    <row r="16" spans="1:9">
      <c r="A16" s="50"/>
      <c r="B16" s="51"/>
      <c r="C16" s="52"/>
      <c r="D16" s="53"/>
      <c r="E16" s="54"/>
      <c r="F16" s="54"/>
      <c r="G16" s="6"/>
      <c r="H16" s="7"/>
      <c r="I16" s="8" t="str">
        <f t="shared" si="0"/>
        <v/>
      </c>
    </row>
    <row r="17" spans="1:11">
      <c r="A17" s="50"/>
      <c r="B17" s="51"/>
      <c r="C17" s="52"/>
      <c r="D17" s="53"/>
      <c r="E17" s="54"/>
      <c r="F17" s="54"/>
      <c r="G17" s="6"/>
      <c r="H17" s="7"/>
      <c r="I17" s="8" t="str">
        <f t="shared" si="0"/>
        <v/>
      </c>
    </row>
    <row r="18" spans="1:11">
      <c r="A18" s="9"/>
      <c r="B18" s="10"/>
      <c r="C18" s="11"/>
      <c r="D18" s="11"/>
      <c r="E18" s="12"/>
      <c r="F18" s="12"/>
      <c r="G18" s="13"/>
      <c r="H18" s="13"/>
      <c r="I18" s="14"/>
      <c r="J18" s="15"/>
      <c r="K18" s="15"/>
    </row>
    <row r="19" spans="1:11" ht="25.5">
      <c r="A19" s="5" t="s">
        <v>14</v>
      </c>
      <c r="B19" s="5" t="s">
        <v>15</v>
      </c>
      <c r="C19" s="4" t="s">
        <v>16</v>
      </c>
      <c r="D19" s="16" t="s">
        <v>17</v>
      </c>
      <c r="E19" s="17" t="s">
        <v>18</v>
      </c>
      <c r="F19" s="16" t="s">
        <v>19</v>
      </c>
      <c r="G19" s="47" t="s">
        <v>20</v>
      </c>
      <c r="H19" s="47"/>
      <c r="I19" s="18"/>
    </row>
    <row r="20" spans="1:11">
      <c r="A20" s="19">
        <f>IF(B20&lt;2,"N/A",(STDEV(H3:H17)))</f>
        <v>30.735489575480074</v>
      </c>
      <c r="B20" s="19">
        <f>COUNT(H3:H17)</f>
        <v>9</v>
      </c>
      <c r="C20" s="20">
        <f>IF(B20&lt;2,"N/A",(A20/D20))</f>
        <v>1.1438589347033894</v>
      </c>
      <c r="D20" s="21">
        <f>ROUND(AVERAGE(H3:H17),2)</f>
        <v>26.87</v>
      </c>
      <c r="E20" s="22">
        <f>IFERROR(ROUND(IF(B20&lt;2,"N/A",(IF(C20&lt;=25%,"N/A",AVERAGE(I3:I17)))),2),"N/A")</f>
        <v>12.04</v>
      </c>
      <c r="F20" s="22">
        <f>ROUND(MEDIAN(H3:H17),2)</f>
        <v>14.06</v>
      </c>
      <c r="G20" s="23" t="str">
        <f>INDEX(G3:G17,MATCH(H20,H3:H17,0))</f>
        <v>E. A. SCHMITT FREISLEBEN &amp; CIA LTDA</v>
      </c>
      <c r="H20" s="24">
        <f>MIN(H3:H17)</f>
        <v>6.45</v>
      </c>
      <c r="I20" s="18"/>
    </row>
    <row r="21" spans="1:11">
      <c r="A21" s="25"/>
      <c r="B21" s="18"/>
      <c r="C21" s="26"/>
      <c r="D21" s="26"/>
      <c r="E21" s="26"/>
      <c r="F21" s="26"/>
      <c r="G21" s="18"/>
      <c r="H21" s="27"/>
      <c r="I21" s="28"/>
      <c r="J21" s="28"/>
      <c r="K21" s="28"/>
    </row>
    <row r="22" spans="1:11">
      <c r="B22" s="25"/>
      <c r="C22" s="25"/>
      <c r="D22" s="48"/>
      <c r="E22" s="48"/>
      <c r="F22" s="30"/>
      <c r="G22" s="31" t="s">
        <v>21</v>
      </c>
      <c r="H22" s="32">
        <f>IF(C20&lt;=25%,D20,MIN(E20:F20))</f>
        <v>12.04</v>
      </c>
    </row>
    <row r="23" spans="1:11">
      <c r="B23" s="25"/>
      <c r="C23" s="25"/>
      <c r="D23" s="48"/>
      <c r="E23" s="48"/>
      <c r="F23" s="33"/>
      <c r="G23" s="4" t="s">
        <v>22</v>
      </c>
      <c r="H23" s="24">
        <f>ROUND(H22,2)*D3</f>
        <v>6020</v>
      </c>
    </row>
    <row r="24" spans="1:11">
      <c r="B24" s="29"/>
      <c r="C24" s="29"/>
      <c r="D24" s="18"/>
      <c r="E24" s="18"/>
    </row>
    <row r="26" spans="1:11" ht="12.75" customHeight="1">
      <c r="A26" s="45" t="s">
        <v>23</v>
      </c>
      <c r="B26" s="45"/>
      <c r="C26" s="45"/>
      <c r="D26" s="45"/>
      <c r="E26" s="45"/>
      <c r="F26" s="45"/>
      <c r="G26" s="45"/>
      <c r="H26" s="45"/>
      <c r="I26" s="45"/>
    </row>
    <row r="27" spans="1:11" ht="12.75" customHeight="1">
      <c r="A27" s="45" t="s">
        <v>24</v>
      </c>
      <c r="B27" s="45"/>
      <c r="C27" s="45"/>
      <c r="D27" s="45"/>
      <c r="E27" s="45"/>
      <c r="F27" s="45"/>
      <c r="G27" s="45"/>
      <c r="H27" s="45"/>
      <c r="I27" s="45"/>
    </row>
    <row r="28" spans="1:11" ht="12.75" customHeight="1">
      <c r="A28" s="45" t="s">
        <v>25</v>
      </c>
      <c r="B28" s="45"/>
      <c r="C28" s="45"/>
      <c r="D28" s="45"/>
      <c r="E28" s="45"/>
      <c r="F28" s="45"/>
      <c r="G28" s="45"/>
      <c r="H28" s="45"/>
      <c r="I28" s="45"/>
    </row>
    <row r="29" spans="1:11" ht="12.75" customHeight="1">
      <c r="A29" s="45" t="s">
        <v>26</v>
      </c>
      <c r="B29" s="45"/>
      <c r="C29" s="45"/>
      <c r="D29" s="45"/>
      <c r="E29" s="45"/>
      <c r="F29" s="45"/>
      <c r="G29" s="45"/>
      <c r="H29" s="45"/>
      <c r="I29" s="45"/>
    </row>
    <row r="30" spans="1:11" ht="12.75" customHeight="1">
      <c r="A30" s="45" t="s">
        <v>27</v>
      </c>
      <c r="B30" s="45"/>
      <c r="C30" s="45"/>
      <c r="D30" s="45"/>
      <c r="E30" s="45"/>
      <c r="F30" s="45"/>
      <c r="G30" s="45"/>
      <c r="H30" s="45"/>
      <c r="I30" s="45"/>
    </row>
    <row r="31" spans="1:11" ht="12.75" customHeight="1">
      <c r="A31" s="45" t="s">
        <v>28</v>
      </c>
      <c r="B31" s="45"/>
      <c r="C31" s="45"/>
      <c r="D31" s="45"/>
      <c r="E31" s="45"/>
      <c r="F31" s="45"/>
      <c r="G31" s="45"/>
      <c r="H31" s="45"/>
      <c r="I31" s="45"/>
    </row>
    <row r="32" spans="1:11" ht="24.75" customHeight="1">
      <c r="A32" s="46" t="s">
        <v>29</v>
      </c>
      <c r="B32" s="46"/>
      <c r="C32" s="46"/>
      <c r="D32" s="46"/>
      <c r="E32" s="46"/>
      <c r="F32" s="46"/>
      <c r="G32" s="46"/>
      <c r="H32" s="46"/>
      <c r="I32" s="46"/>
    </row>
  </sheetData>
  <sheetProtection password="E73F"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1134</TotalTime>
  <Application>Microsoft Excel</Application>
  <DocSecurity>0</DocSecurity>
  <ScaleCrop>false</ScaleCrop>
  <HeadingPairs>
    <vt:vector size="4" baseType="variant">
      <vt:variant>
        <vt:lpstr>Planilhas</vt:lpstr>
      </vt:variant>
      <vt:variant>
        <vt:i4>51</vt:i4>
      </vt:variant>
      <vt:variant>
        <vt:lpstr>Intervalos nomeados</vt:lpstr>
      </vt:variant>
      <vt:variant>
        <vt:i4>2</vt:i4>
      </vt:variant>
    </vt:vector>
  </HeadingPairs>
  <TitlesOfParts>
    <vt:vector size="53"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Item34</vt:lpstr>
      <vt:lpstr>Item35</vt:lpstr>
      <vt:lpstr>Item36</vt:lpstr>
      <vt:lpstr>Item37</vt:lpstr>
      <vt:lpstr>Item38</vt:lpstr>
      <vt:lpstr>Item39</vt:lpstr>
      <vt:lpstr>Item40</vt:lpstr>
      <vt:lpstr>Item41</vt:lpstr>
      <vt:lpstr>Item42</vt:lpstr>
      <vt:lpstr>Item43</vt:lpstr>
      <vt:lpstr>Item44</vt:lpstr>
      <vt:lpstr>Item45</vt:lpstr>
      <vt:lpstr>Item46</vt:lpstr>
      <vt:lpstr>Item47</vt:lpstr>
      <vt:lpstr>Item48</vt:lpstr>
      <vt:lpstr>Item49</vt:lpstr>
      <vt:lpstr>Item50</vt:lpstr>
      <vt:lpstr>TOTAL</vt:lpstr>
      <vt:lpstr>TOTAL!Area_de_impressao</vt:lpstr>
      <vt:lpstr>TOTAL!Print_Area_0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revision>70</cp:revision>
  <cp:lastPrinted>2021-08-23T21:57:01Z</cp:lastPrinted>
  <dcterms:created xsi:type="dcterms:W3CDTF">2019-01-16T20:04:04Z</dcterms:created>
  <dcterms:modified xsi:type="dcterms:W3CDTF">2021-09-08T16:52:55Z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